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55" windowWidth="9720" windowHeight="4050" tabRatio="595" activeTab="1"/>
  </bookViews>
  <sheets>
    <sheet name="пр.1 доходы" sheetId="1" r:id="rId1"/>
    <sheet name="пр.2 Вед.стр" sheetId="2" r:id="rId2"/>
    <sheet name="пр.3 распр.БА" sheetId="3" r:id="rId3"/>
    <sheet name="пр.4-5" sheetId="4" r:id="rId4"/>
    <sheet name="источники1" sheetId="5" r:id="rId5"/>
  </sheets>
  <definedNames>
    <definedName name="_xlnm.Print_Area" localSheetId="0">'пр.1 доходы'!$A$1:$N$54</definedName>
  </definedNames>
  <calcPr fullCalcOnLoad="1"/>
</workbook>
</file>

<file path=xl/sharedStrings.xml><?xml version="1.0" encoding="utf-8"?>
<sst xmlns="http://schemas.openxmlformats.org/spreadsheetml/2006/main" count="1666" uniqueCount="376">
  <si>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</si>
  <si>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</si>
  <si>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</si>
  <si>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</si>
  <si>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</si>
  <si>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</si>
  <si>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</si>
  <si>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</si>
  <si>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</si>
  <si>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</si>
  <si>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</si>
  <si>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</si>
  <si>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</si>
  <si>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</si>
  <si>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</si>
  <si>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</si>
  <si>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</si>
  <si>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</si>
  <si>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</si>
  <si>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</si>
  <si>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</si>
  <si>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</si>
  <si>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</si>
  <si>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</si>
  <si>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</si>
  <si>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</si>
  <si>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</si>
  <si>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</si>
  <si>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</si>
  <si>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</si>
  <si>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</si>
  <si>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</t>
  </si>
  <si>
    <t>1.1</t>
  </si>
  <si>
    <t>2.1</t>
  </si>
  <si>
    <t>3.1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</si>
  <si>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</si>
  <si>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</si>
  <si>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</si>
  <si>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</si>
  <si>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</si>
  <si>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</si>
  <si>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</si>
  <si>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</si>
  <si>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</si>
  <si>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</si>
  <si>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</si>
  <si>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</si>
  <si>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</si>
  <si>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</si>
  <si>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</si>
  <si>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</si>
  <si>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</si>
  <si>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</si>
  <si>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</si>
  <si>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</si>
  <si>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</si>
  <si>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</si>
  <si>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</si>
  <si>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</si>
  <si>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</si>
  <si>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</si>
  <si>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</si>
  <si>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</si>
  <si>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</si>
  <si>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</si>
  <si>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</si>
  <si>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</si>
  <si>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</si>
  <si>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</si>
  <si>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</si>
  <si>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</si>
  <si>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</si>
  <si>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</si>
  <si>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</si>
  <si>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</si>
  <si>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</si>
  <si>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</si>
  <si>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</si>
  <si>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</si>
  <si>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</si>
  <si>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</si>
  <si>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</si>
  <si>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</si>
  <si>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</si>
  <si>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</si>
  <si>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</si>
  <si>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</si>
  <si>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</si>
  <si>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</si>
  <si>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</si>
  <si>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</si>
  <si>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</si>
  <si>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</si>
  <si>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</si>
  <si>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</si>
  <si>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</si>
  <si>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</si>
  <si>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</si>
  <si>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</si>
  <si>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</si>
  <si>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</si>
  <si>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</si>
  <si>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</si>
  <si>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</si>
  <si>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</si>
  <si>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</si>
  <si>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</si>
  <si>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</si>
  <si>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</si>
  <si>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</si>
  <si>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</si>
  <si>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</si>
  <si>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</si>
  <si>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</si>
  <si>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</si>
  <si>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</si>
  <si>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</si>
  <si>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</si>
  <si>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</si>
  <si>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</si>
  <si>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</si>
  <si>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</si>
  <si>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</si>
  <si>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033</t>
  </si>
  <si>
    <t>Имущественные налоги в т.ч</t>
  </si>
  <si>
    <t>043</t>
  </si>
  <si>
    <t>999</t>
  </si>
  <si>
    <t>Субвенции бюджетам сельских поселений на выполнение передаваемых полномочий субъектов Российской Федерации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</si>
  <si>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</si>
  <si>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</si>
  <si>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</si>
  <si>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</si>
  <si>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</si>
  <si>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</si>
  <si>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</si>
  <si>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</si>
  <si>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</si>
  <si>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</si>
  <si>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</si>
  <si>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</si>
  <si>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</si>
  <si>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</si>
  <si>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</si>
  <si>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</si>
  <si>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</si>
  <si>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</si>
  <si>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1.6.</t>
  </si>
  <si>
    <t>7.</t>
  </si>
  <si>
    <t>8.</t>
  </si>
  <si>
    <t>9.</t>
  </si>
  <si>
    <t>25</t>
  </si>
  <si>
    <t>555</t>
  </si>
  <si>
    <t>Источники финансирования дефицита бюджета Кааламского сельского поселения</t>
  </si>
  <si>
    <t>Единый сельхозналог</t>
  </si>
  <si>
    <t xml:space="preserve"> 4.2</t>
  </si>
  <si>
    <t>4.2.3.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</si>
  <si>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</si>
  <si>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</si>
  <si>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</si>
  <si>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</si>
  <si>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</si>
  <si>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</si>
  <si>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</si>
  <si>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</si>
  <si>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</si>
  <si>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</si>
  <si>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Невыясненные поступления, зачисляемые в бюджеты сельских поселений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</si>
  <si>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</si>
  <si>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</si>
  <si>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</si>
  <si>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</si>
  <si>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</si>
  <si>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</si>
  <si>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</si>
  <si>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</si>
  <si>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</si>
  <si>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доходы от компенсации затрат бюджетов сельских поселений</t>
  </si>
  <si>
    <t>995</t>
  </si>
  <si>
    <t>130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</si>
  <si>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</si>
  <si>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</si>
  <si>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</si>
  <si>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</si>
  <si>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</si>
  <si>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</si>
  <si>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</si>
  <si>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</si>
  <si>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150</t>
  </si>
  <si>
    <t>Арендная плата за пользование имуществом</t>
  </si>
  <si>
    <t xml:space="preserve"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</si>
  <si>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</si>
  <si>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</si>
  <si>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  Ведомственная структура расходов  бюджета Кааламского сельского поселения 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</si>
  <si>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</si>
  <si>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</si>
  <si>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</si>
  <si>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</si>
  <si>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</si>
  <si>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</si>
  <si>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</si>
  <si>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</si>
  <si>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</si>
  <si>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</si>
  <si>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</si>
  <si>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</si>
  <si>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</si>
  <si>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</si>
  <si>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Резервный фонд администрации Кааламского сельского поселения</t>
  </si>
  <si>
    <t>Резервный фонд администрации Кааламского сельского поселения (Резервные средства)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</si>
  <si>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(Фонд оплаты труда государственных (муниципальных) органов)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</si>
  <si>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(Иные выплаты персоналу государственных (муниципальных) органов, за исключением фонда оплаты труда)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</si>
  <si>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</si>
  <si>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</si>
  <si>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</si>
  <si>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</si>
  <si>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>Предоставление адресной материальной помощи гражданам (семьям), оказавшимся в трудной жизненной ситуации (Пособия, компенсации и иные социальные выплаты гражданам, кроме публичных нормативных обязательств)</t>
  </si>
  <si>
    <t>Прочие мероприятия в части других общегосударственных вопросов, в т.ч. содержание муниципального имущества (Уплата  иных платежей)</t>
  </si>
  <si>
    <t>Прочие мероприятия в части других общегосударственных вопросов, в т.ч. содержание муниципального имущества (Уплата налога на имущество и земельного налога)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</si>
  <si>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</si>
  <si>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 xml:space="preserve">Всего расходы 2023г </t>
  </si>
  <si>
    <t>Прочие мероприятия в части других общегосударственных вопросов, в т.ч. содержание муниципального имущества (Прочие закупки товаров, работ и услуг для обеспечения государственных (муниципальных) нужд)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</si>
  <si>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(Прочие закупки товаров, работ и услуг для обеспечения государственных (муниципальных) нужд)</t>
  </si>
  <si>
    <t>Мероприятия по обеспечению первичных мер пожарной безопасности в границах населенных пунктов поселения (Прочие закупки товаров, работ и услуг для обеспечения государственных (муниципальных) нужд)</t>
  </si>
  <si>
    <t>Содержание и ремонт дорог общего пользования местного значения (Прочие закупки товаров, работ и услуг для обеспечения государственных (муниципальных) нужд)</t>
  </si>
  <si>
    <t>Благоустройство территории  (Прочие закупки товаров, работ и услуг для обеспечения государственных (муниципальных) нужд)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</si>
  <si>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</si>
  <si>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Резервные средства</t>
  </si>
  <si>
    <t>Прочие мероприятия в части других общегосударственных вопросов</t>
  </si>
  <si>
    <t xml:space="preserve">Муниципальная программа </t>
  </si>
  <si>
    <t xml:space="preserve">Дворцы и дома культуры, другие учреждения культуры </t>
  </si>
  <si>
    <t>02 0 01 00000</t>
  </si>
  <si>
    <t>02 0 01 00020</t>
  </si>
  <si>
    <t>02 0 01 00040</t>
  </si>
  <si>
    <t>02 0 01 24214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</si>
  <si>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</si>
  <si>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</si>
  <si>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</si>
  <si>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</si>
  <si>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</si>
  <si>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</si>
  <si>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</si>
  <si>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02 0 04 00000</t>
  </si>
  <si>
    <t>02 0 04 00409</t>
  </si>
  <si>
    <t>02 0 05 00000</t>
  </si>
  <si>
    <t>02 0 05 00501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</si>
  <si>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</si>
  <si>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</si>
  <si>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</si>
  <si>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</si>
  <si>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</si>
  <si>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</si>
  <si>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</si>
  <si>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</si>
  <si>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</si>
  <si>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</si>
  <si>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</si>
  <si>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</si>
  <si>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</si>
  <si>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>№</t>
  </si>
  <si>
    <t xml:space="preserve">Осуществление полномочий исполнительно-распорядительными органами местного самоуправления </t>
  </si>
  <si>
    <t>Осуществление полномочий исполнительно-распорядительными органами местного самоуправления (Расходы на выплаты персоналу государственных (муниципальных) органов)</t>
  </si>
  <si>
    <t>Осуществление полномочий исполнительно-распорядительными органами местного самоуправления (Прочие закупки товаров, работ и услуг для обеспечения государственных (муниципальных) нужд)</t>
  </si>
  <si>
    <t>Осуществление полномочий исполнительно-распорядительными органами местного самоуправления (Уплата налогов, сборов, иных платежей)</t>
  </si>
  <si>
    <t>Осуществление полномочий исполнительно-распорядительными органами местного самоуправления (Взносы по обязательному социальному страхованию на выплаты денежного содержания и иные выплаты) работникам государственных (муниципальных) органов</t>
  </si>
  <si>
    <t>Осуществление полномочий исполнительно-распорядительными органами местного самоуправления (Иные выплаты персоналу государственных (муниципальных) органов, за исключением фонда оплаты труда)</t>
  </si>
  <si>
    <t xml:space="preserve">Содержание и ремонт дорог </t>
  </si>
  <si>
    <t xml:space="preserve">Благоустройство </t>
  </si>
  <si>
    <t>Уличное освещение (Прочие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</si>
  <si>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сферы)(за счет средств бюджета РК)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</si>
  <si>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сферы)(софин. за счет средств МБ)</t>
  </si>
  <si>
    <t xml:space="preserve">Адресная материальная помощь </t>
  </si>
  <si>
    <t>Мероприятия в сфере физической культуры и массового спорта (Прочие закупки товаров, работ и услуг для обеспечения государственных (муниципальных) нужд)</t>
  </si>
  <si>
    <t>Физическая культура и массовый спорт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</si>
  <si>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</si>
  <si>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</si>
  <si>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</si>
  <si>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</si>
  <si>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</si>
  <si>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работе с детьми и молодежью (Прочие закупки товаров, работ и услуг для обеспечения государственных (муниципальных) нужд)</t>
  </si>
  <si>
    <t>Финансирование деятельности Главы  поселения (Расходы на выплаты персоналу государственных (муниципальных) органов)</t>
  </si>
  <si>
    <t>Финансирование деятельности Главы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</si>
  <si>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ЧС и пожарной безопасности</t>
  </si>
  <si>
    <t>Уличное освещение (Закупка энергетических ресурсов для обеспечения государственных (муниципальных) нужд)</t>
  </si>
  <si>
    <t>247</t>
  </si>
  <si>
    <t>Прочие мероприятия в части других общегосударственных вопросов, в т.ч. содержание муниципального имущества  (Закупка энергетических ресурсов для обеспечения государственных (муниципальных) нужд)</t>
  </si>
  <si>
    <t>Прочие мероприятия в части других общегосударственных вопросов, в т.ч. содержание муниципального имущества (Уплата прочих налогов, сборов (трансп.налог)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</si>
  <si>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</si>
  <si>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</si>
  <si>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</si>
  <si>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</si>
  <si>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</si>
  <si>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</si>
  <si>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</si>
  <si>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</si>
  <si>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</si>
  <si>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</si>
  <si>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</si>
  <si>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</si>
  <si>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</si>
  <si>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</si>
  <si>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</si>
  <si>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</si>
  <si>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 xml:space="preserve"> Сумма на 2024г</t>
  </si>
  <si>
    <t xml:space="preserve">Всего расходы 2024г </t>
  </si>
  <si>
    <t xml:space="preserve"> Сумма на  2023г</t>
  </si>
  <si>
    <t xml:space="preserve"> Сумма на  2024г</t>
  </si>
  <si>
    <t xml:space="preserve">Налог на доходы физических лиц в части
суммы налога, превышающей 650 000 рублей,
относящейся к части налоговой базы,
превышающей 5 000 000 рублей (за
исключением налога на доходы физических
лиц с сумм прибыли контролируемой
иностранной компании, в том числе
фиксированной прибыли контролируемой
иностранной компании)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</si>
  <si>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</si>
  <si>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t>1.10.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</si>
  <si>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</si>
  <si>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</si>
  <si>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поселения»</t>
  </si>
  <si>
    <t xml:space="preserve"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</t>
  </si>
  <si>
    <t>Приложение  1</t>
  </si>
  <si>
    <t xml:space="preserve">Приложение 2   </t>
  </si>
  <si>
    <t xml:space="preserve">Приложение  3          </t>
  </si>
  <si>
    <t xml:space="preserve">Приложение 4             </t>
  </si>
  <si>
    <t xml:space="preserve">Приложение  5     </t>
  </si>
  <si>
    <t>02 0 03 00310</t>
  </si>
  <si>
    <r>
      <t xml:space="preserve">Распределение бюджетных ассигнований по разделам, подразделам, целевым статьям 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Times New Roman"/>
        <family val="1"/>
      </rPr>
      <t>муниципальным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программам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и непрограммным направлениям деятельности)</t>
    </r>
    <r>
      <rPr>
        <b/>
        <sz val="9"/>
        <rFont val="Times New Roman"/>
        <family val="1"/>
      </rPr>
      <t>, группам (группам и подгруппам) видов расходов  классификации расходов бюджета Кааламского сельского поселения</t>
    </r>
  </si>
  <si>
    <t>Защита населения и территории от чрезвычайных ситуаций природного и техногенного характера, пожарная безопасность</t>
  </si>
  <si>
    <t>на 2023 год и на плановый период 2024-2025 годы</t>
  </si>
  <si>
    <t xml:space="preserve"> Сумма на 2025г</t>
  </si>
  <si>
    <t>Прочие субсидии бюджетам сельских поселений (реализация меропр.в рамках цел.прогр "Увековечение памяти погибших при защите Отечества на 2019-2024 годы"</t>
  </si>
  <si>
    <t>299</t>
  </si>
  <si>
    <t>Субсидия бюджетам поселений на реализацию мероприятий федеральной целевой программы "Увековечение памяти погибших при защите Отечества на 2019-2024 годы"</t>
  </si>
  <si>
    <t>02 0 05 L5763</t>
  </si>
  <si>
    <t>Комплексное развитие территорий (за счет средств местного бюджета) (Прочие закупки товаров, работ и услуг для обеспечения государственных (муниципальных) нужд (за счет средств местного бюджета)</t>
  </si>
  <si>
    <t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(за счет средств бюджета РК и ФБ и МБ )</t>
  </si>
  <si>
    <t>Обеспечение деятельности муниципального бюджетного учреждения культуры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</si>
  <si>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611</t>
  </si>
  <si>
    <t xml:space="preserve">Всего расходы 2025г </t>
  </si>
  <si>
    <r>
      <rPr>
        <sz val="9"/>
        <color indexed="10"/>
        <rFont val="Times New Roman"/>
        <family val="1"/>
      </rPr>
      <t>про</t>
    </r>
    <r>
      <rPr>
        <sz val="9"/>
        <rFont val="Times New Roman"/>
        <family val="1"/>
      </rPr>
      <t>фицит</t>
    </r>
  </si>
  <si>
    <t>снято с расходов  условно утвержденные расходы</t>
  </si>
  <si>
    <t>итого расходы  текстовая часть</t>
  </si>
  <si>
    <t xml:space="preserve"> Сумма на  2025г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</si>
  <si>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</si>
  <si>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</si>
  <si>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Обеспечение проведения выборов и референдумов</t>
  </si>
  <si>
    <t>Проведение выборов</t>
  </si>
  <si>
    <t>02 0 17 00107</t>
  </si>
  <si>
    <t>Прочая закупка товаров, работ и услуг для обеспечения государственных (муниципальных) нужд</t>
  </si>
  <si>
    <t xml:space="preserve">Приложение  5    </t>
  </si>
  <si>
    <t>Поддержка местных инициатив граждан, проживающих в муниципальных образованиях</t>
  </si>
  <si>
    <t>02 0 05 43140</t>
  </si>
  <si>
    <t>02 0 05 S3140</t>
  </si>
  <si>
    <t>условно утвержд</t>
  </si>
  <si>
    <t>итого расходов</t>
  </si>
  <si>
    <t>14</t>
  </si>
  <si>
    <t>410</t>
  </si>
  <si>
    <t>29</t>
  </si>
  <si>
    <t>Прочие субсидии бюджетам сельских поселений</t>
  </si>
  <si>
    <t>Мероприятия по поддержке ТОСов</t>
  </si>
  <si>
    <t>02 0 05 75040</t>
  </si>
  <si>
    <t>880</t>
  </si>
  <si>
    <t>140</t>
  </si>
  <si>
    <t>1.11.</t>
  </si>
  <si>
    <t>1.12.</t>
  </si>
  <si>
    <t>ПМИ</t>
  </si>
  <si>
    <t>КРСТ</t>
  </si>
  <si>
    <t>02 0 01 554900</t>
  </si>
  <si>
    <t>02 0 01 55490</t>
  </si>
  <si>
    <t>Финансирование деятельности Главы  поселения (Расходы на выплаты персоналу государственных (муниципальных) органов)(поощрение муниципальных команд)</t>
  </si>
  <si>
    <t>Финансирование деятельности Главы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органов)(поощрение муниципальных команд)</t>
  </si>
  <si>
    <t>Осуществление полномочий исполнительно-распорядительными органами местного самоуправления (Расходы на выплаты персоналу государственных (муниципальных) органов)(поощрение муниципальных команд)</t>
  </si>
  <si>
    <t>Осуществление полномочий исполнительно-распорядительными органами местного самоуправления (Взносы по обязательному социальному страхованию на выплаты денежного содержания и иные выплаты) работникам государственных (муниципальных) органов (поощрение муниципальных команд)</t>
  </si>
  <si>
    <t>Прочие мероприятия в части других общегосударственных вопросов, в т.ч. содержание муниципального имущества (Интернет)</t>
  </si>
  <si>
    <t>02 0 13 44530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</si>
  <si>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</si>
  <si>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</t>
  </si>
  <si>
    <t>045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</si>
  <si>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</si>
  <si>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</si>
  <si>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</si>
  <si>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Расходы без усл.утв</t>
  </si>
  <si>
    <t xml:space="preserve"> к Решению Совета Кааламского сельского поселения № 21 от 22.12.2023г . "О внесении изменений в Решение Совета Кааламского сельского поселения от 24 декабря 2022 г. № 137 «О бюджете Кааламского сельского поселения на 2023 год и на плановый период 2024-2025 годы»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</si>
</sst>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</numFmts>
  <fonts count="9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i/>
      <sz val="11"/>
      <color indexed="30"/>
      <name val="Times New Roman"/>
      <family val="1"/>
    </font>
    <font>
      <i/>
      <sz val="11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i/>
      <sz val="11"/>
      <color rgb="FF0070C0"/>
      <name val="Times New Roman"/>
      <family val="1"/>
    </font>
    <font>
      <i/>
      <sz val="11"/>
      <color rgb="FF0070C0"/>
      <name val="Times New Roman"/>
      <family val="1"/>
    </font>
    <font>
      <sz val="10"/>
      <color rgb="FFFF0000"/>
      <name val="Times New Roman"/>
      <family val="1"/>
    </font>
    <font>
      <sz val="11"/>
      <color theme="3" tint="0.599990010261535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32" borderId="0" xfId="0" applyFont="1" applyFill="1" applyAlignment="1">
      <alignment/>
    </xf>
    <xf numFmtId="172" fontId="11" fillId="32" borderId="0" xfId="0" applyNumberFormat="1" applyFont="1" applyFill="1" applyAlignment="1">
      <alignment/>
    </xf>
    <xf numFmtId="2" fontId="11" fillId="0" borderId="10" xfId="0" applyNumberFormat="1" applyFont="1" applyBorder="1" applyAlignment="1">
      <alignment vertical="center"/>
    </xf>
    <xf numFmtId="0" fontId="11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1" fillId="32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1" fontId="78" fillId="3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13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179" fontId="6" fillId="4" borderId="10" xfId="0" applyNumberFormat="1" applyFont="1" applyFill="1" applyBorder="1" applyAlignment="1">
      <alignment horizontal="center" vertical="center" wrapText="1"/>
    </xf>
    <xf numFmtId="179" fontId="11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9" fillId="0" borderId="0" xfId="0" applyNumberFormat="1" applyFont="1" applyBorder="1" applyAlignment="1">
      <alignment horizontal="right" wrapText="1"/>
    </xf>
    <xf numFmtId="179" fontId="1" fillId="0" borderId="0" xfId="56" applyNumberFormat="1" applyFont="1" applyBorder="1" applyAlignment="1">
      <alignment horizontal="right" vertical="center" wrapText="1"/>
      <protection/>
    </xf>
    <xf numFmtId="0" fontId="11" fillId="32" borderId="0" xfId="0" applyFont="1" applyFill="1" applyBorder="1" applyAlignment="1">
      <alignment/>
    </xf>
    <xf numFmtId="0" fontId="11" fillId="7" borderId="10" xfId="0" applyFont="1" applyFill="1" applyBorder="1" applyAlignment="1">
      <alignment wrapText="1"/>
    </xf>
    <xf numFmtId="1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3" fillId="32" borderId="0" xfId="0" applyFont="1" applyFill="1" applyAlignment="1">
      <alignment/>
    </xf>
    <xf numFmtId="0" fontId="10" fillId="0" borderId="0" xfId="0" applyFont="1" applyAlignment="1">
      <alignment/>
    </xf>
    <xf numFmtId="179" fontId="1" fillId="0" borderId="12" xfId="56" applyNumberFormat="1" applyFont="1" applyBorder="1" applyAlignment="1">
      <alignment horizontal="right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6" fillId="7" borderId="10" xfId="0" applyNumberFormat="1" applyFont="1" applyFill="1" applyBorder="1" applyAlignment="1">
      <alignment/>
    </xf>
    <xf numFmtId="49" fontId="11" fillId="7" borderId="10" xfId="0" applyNumberFormat="1" applyFont="1" applyFill="1" applyBorder="1" applyAlignment="1">
      <alignment wrapText="1"/>
    </xf>
    <xf numFmtId="0" fontId="22" fillId="6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wrapText="1"/>
    </xf>
    <xf numFmtId="49" fontId="2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/>
    </xf>
    <xf numFmtId="0" fontId="22" fillId="34" borderId="10" xfId="0" applyFont="1" applyFill="1" applyBorder="1" applyAlignment="1">
      <alignment horizontal="left"/>
    </xf>
    <xf numFmtId="49" fontId="22" fillId="34" borderId="10" xfId="0" applyNumberFormat="1" applyFont="1" applyFill="1" applyBorder="1" applyAlignment="1">
      <alignment horizontal="left"/>
    </xf>
    <xf numFmtId="0" fontId="23" fillId="34" borderId="10" xfId="0" applyFont="1" applyFill="1" applyBorder="1" applyAlignment="1">
      <alignment/>
    </xf>
    <xf numFmtId="0" fontId="24" fillId="34" borderId="10" xfId="0" applyFont="1" applyFill="1" applyBorder="1" applyAlignment="1">
      <alignment wrapText="1"/>
    </xf>
    <xf numFmtId="49" fontId="25" fillId="34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1" fontId="21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56" applyFont="1" applyBorder="1" applyAlignment="1">
      <alignment horizontal="center" wrapText="1"/>
      <protection/>
    </xf>
    <xf numFmtId="0" fontId="1" fillId="0" borderId="13" xfId="0" applyFont="1" applyBorder="1" applyAlignment="1">
      <alignment wrapText="1"/>
    </xf>
    <xf numFmtId="0" fontId="79" fillId="0" borderId="14" xfId="54" applyFont="1" applyBorder="1" applyAlignment="1">
      <alignment horizontal="center" vertical="top" wrapText="1"/>
      <protection/>
    </xf>
    <xf numFmtId="1" fontId="1" fillId="0" borderId="12" xfId="56" applyNumberFormat="1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 textRotation="90" wrapText="1"/>
      <protection/>
    </xf>
    <xf numFmtId="0" fontId="26" fillId="0" borderId="14" xfId="56" applyFont="1" applyBorder="1" applyAlignment="1">
      <alignment horizontal="center" vertical="center" textRotation="90" wrapText="1"/>
      <protection/>
    </xf>
    <xf numFmtId="179" fontId="1" fillId="7" borderId="12" xfId="56" applyNumberFormat="1" applyFont="1" applyFill="1" applyBorder="1" applyAlignment="1">
      <alignment horizontal="right" vertical="center" wrapText="1"/>
      <protection/>
    </xf>
    <xf numFmtId="49" fontId="27" fillId="0" borderId="10" xfId="54" applyNumberFormat="1" applyFont="1" applyFill="1" applyBorder="1" applyAlignment="1">
      <alignment vertical="center" wrapText="1"/>
      <protection/>
    </xf>
    <xf numFmtId="49" fontId="28" fillId="0" borderId="10" xfId="56" applyNumberFormat="1" applyFont="1" applyBorder="1" applyAlignment="1">
      <alignment horizontal="center"/>
      <protection/>
    </xf>
    <xf numFmtId="4" fontId="21" fillId="0" borderId="10" xfId="56" applyNumberFormat="1" applyFont="1" applyBorder="1" applyAlignment="1">
      <alignment horizontal="right" vertical="center"/>
      <protection/>
    </xf>
    <xf numFmtId="1" fontId="5" fillId="35" borderId="10" xfId="56" applyNumberFormat="1" applyFont="1" applyFill="1" applyBorder="1" applyAlignment="1">
      <alignment horizontal="center"/>
      <protection/>
    </xf>
    <xf numFmtId="0" fontId="27" fillId="35" borderId="10" xfId="54" applyNumberFormat="1" applyFont="1" applyFill="1" applyBorder="1" applyAlignment="1">
      <alignment wrapText="1"/>
      <protection/>
    </xf>
    <xf numFmtId="49" fontId="28" fillId="35" borderId="10" xfId="56" applyNumberFormat="1" applyFont="1" applyFill="1" applyBorder="1" applyAlignment="1">
      <alignment horizontal="center" vertical="center" wrapText="1"/>
      <protection/>
    </xf>
    <xf numFmtId="1" fontId="1" fillId="36" borderId="10" xfId="56" applyNumberFormat="1" applyFont="1" applyFill="1" applyBorder="1" applyAlignment="1">
      <alignment horizontal="center"/>
      <protection/>
    </xf>
    <xf numFmtId="0" fontId="16" fillId="36" borderId="10" xfId="56" applyFont="1" applyFill="1" applyBorder="1" applyAlignment="1">
      <alignment wrapText="1"/>
      <protection/>
    </xf>
    <xf numFmtId="49" fontId="16" fillId="36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6" fillId="0" borderId="10" xfId="57" applyFont="1" applyBorder="1" applyAlignment="1">
      <alignment wrapText="1"/>
      <protection/>
    </xf>
    <xf numFmtId="49" fontId="16" fillId="0" borderId="10" xfId="56" applyNumberFormat="1" applyFont="1" applyFill="1" applyBorder="1" applyAlignment="1">
      <alignment horizontal="center" vertical="center"/>
      <protection/>
    </xf>
    <xf numFmtId="0" fontId="16" fillId="33" borderId="10" xfId="57" applyFont="1" applyFill="1" applyBorder="1" applyAlignment="1">
      <alignment wrapText="1"/>
      <protection/>
    </xf>
    <xf numFmtId="49" fontId="16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6" fillId="36" borderId="10" xfId="57" applyFont="1" applyFill="1" applyBorder="1" applyAlignment="1">
      <alignment wrapText="1"/>
      <protection/>
    </xf>
    <xf numFmtId="1" fontId="5" fillId="36" borderId="10" xfId="56" applyNumberFormat="1" applyFont="1" applyFill="1" applyBorder="1" applyAlignment="1">
      <alignment horizontal="center"/>
      <protection/>
    </xf>
    <xf numFmtId="1" fontId="19" fillId="36" borderId="10" xfId="56" applyNumberFormat="1" applyFont="1" applyFill="1" applyBorder="1" applyAlignment="1">
      <alignment horizontal="center" vertical="center"/>
      <protection/>
    </xf>
    <xf numFmtId="0" fontId="16" fillId="36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7" fillId="0" borderId="10" xfId="54" applyNumberFormat="1" applyFont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7" fillId="33" borderId="10" xfId="54" applyNumberFormat="1" applyFont="1" applyFill="1" applyBorder="1" applyAlignment="1">
      <alignment vertical="center" wrapText="1"/>
      <protection/>
    </xf>
    <xf numFmtId="172" fontId="16" fillId="0" borderId="10" xfId="56" applyNumberFormat="1" applyFont="1" applyBorder="1" applyAlignment="1">
      <alignment horizontal="center" vertical="center"/>
      <protection/>
    </xf>
    <xf numFmtId="1" fontId="5" fillId="36" borderId="10" xfId="56" applyNumberFormat="1" applyFont="1" applyFill="1" applyBorder="1" applyAlignment="1">
      <alignment horizontal="center" vertical="center"/>
      <protection/>
    </xf>
    <xf numFmtId="1" fontId="17" fillId="36" borderId="10" xfId="55" applyNumberFormat="1" applyFont="1" applyFill="1" applyBorder="1" applyAlignment="1" applyProtection="1">
      <alignment vertical="center" wrapText="1"/>
      <protection locked="0"/>
    </xf>
    <xf numFmtId="172" fontId="16" fillId="36" borderId="10" xfId="56" applyNumberFormat="1" applyFont="1" applyFill="1" applyBorder="1" applyAlignment="1">
      <alignment horizontal="center" vertical="center"/>
      <protection/>
    </xf>
    <xf numFmtId="0" fontId="16" fillId="36" borderId="10" xfId="56" applyNumberFormat="1" applyFont="1" applyFill="1" applyBorder="1" applyAlignment="1">
      <alignment horizontal="center" vertical="center"/>
      <protection/>
    </xf>
    <xf numFmtId="1" fontId="80" fillId="6" borderId="10" xfId="56" applyNumberFormat="1" applyFont="1" applyFill="1" applyBorder="1" applyAlignment="1">
      <alignment horizontal="center"/>
      <protection/>
    </xf>
    <xf numFmtId="49" fontId="81" fillId="6" borderId="10" xfId="54" applyNumberFormat="1" applyFont="1" applyFill="1" applyBorder="1" applyAlignment="1">
      <alignment vertical="center" wrapText="1"/>
      <protection/>
    </xf>
    <xf numFmtId="49" fontId="81" fillId="6" borderId="10" xfId="56" applyNumberFormat="1" applyFont="1" applyFill="1" applyBorder="1" applyAlignment="1">
      <alignment horizontal="center"/>
      <protection/>
    </xf>
    <xf numFmtId="49" fontId="17" fillId="0" borderId="10" xfId="54" applyNumberFormat="1" applyFont="1" applyFill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/>
      <protection/>
    </xf>
    <xf numFmtId="1" fontId="5" fillId="12" borderId="10" xfId="56" applyNumberFormat="1" applyFont="1" applyFill="1" applyBorder="1" applyAlignment="1">
      <alignment horizontal="center" vertical="center"/>
      <protection/>
    </xf>
    <xf numFmtId="1" fontId="1" fillId="34" borderId="10" xfId="56" applyNumberFormat="1" applyFont="1" applyFill="1" applyBorder="1">
      <alignment/>
      <protection/>
    </xf>
    <xf numFmtId="49" fontId="27" fillId="34" borderId="10" xfId="54" applyNumberFormat="1" applyFont="1" applyFill="1" applyBorder="1" applyAlignment="1">
      <alignment vertical="center" wrapText="1"/>
      <protection/>
    </xf>
    <xf numFmtId="49" fontId="28" fillId="34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79" fontId="1" fillId="0" borderId="10" xfId="56" applyNumberFormat="1" applyFont="1" applyBorder="1" applyAlignment="1">
      <alignment horizontal="right" vertical="center" wrapText="1"/>
      <protection/>
    </xf>
    <xf numFmtId="1" fontId="13" fillId="0" borderId="10" xfId="56" applyNumberFormat="1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1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1" fillId="32" borderId="0" xfId="0" applyNumberFormat="1" applyFont="1" applyFill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/>
    </xf>
    <xf numFmtId="49" fontId="11" fillId="37" borderId="10" xfId="0" applyNumberFormat="1" applyFont="1" applyFill="1" applyBorder="1" applyAlignment="1">
      <alignment horizontal="right"/>
    </xf>
    <xf numFmtId="49" fontId="23" fillId="34" borderId="10" xfId="0" applyNumberFormat="1" applyFont="1" applyFill="1" applyBorder="1" applyAlignment="1">
      <alignment horizontal="center" wrapText="1"/>
    </xf>
    <xf numFmtId="49" fontId="23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49" fontId="23" fillId="34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0" fontId="11" fillId="32" borderId="11" xfId="0" applyFont="1" applyFill="1" applyBorder="1" applyAlignment="1">
      <alignment textRotation="90" wrapText="1"/>
    </xf>
    <xf numFmtId="49" fontId="11" fillId="32" borderId="11" xfId="0" applyNumberFormat="1" applyFont="1" applyFill="1" applyBorder="1" applyAlignment="1">
      <alignment horizontal="center" textRotation="90" wrapText="1"/>
    </xf>
    <xf numFmtId="0" fontId="11" fillId="32" borderId="11" xfId="0" applyFont="1" applyFill="1" applyBorder="1" applyAlignment="1">
      <alignment horizontal="right" textRotation="90" wrapText="1"/>
    </xf>
    <xf numFmtId="49" fontId="82" fillId="0" borderId="0" xfId="0" applyNumberFormat="1" applyFont="1" applyAlignment="1">
      <alignment wrapText="1"/>
    </xf>
    <xf numFmtId="183" fontId="11" fillId="33" borderId="10" xfId="53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wrapText="1"/>
    </xf>
    <xf numFmtId="0" fontId="11" fillId="33" borderId="0" xfId="0" applyFont="1" applyFill="1" applyAlignment="1">
      <alignment/>
    </xf>
    <xf numFmtId="0" fontId="11" fillId="38" borderId="0" xfId="0" applyFont="1" applyFill="1" applyAlignment="1">
      <alignment horizontal="justify" vertical="center"/>
    </xf>
    <xf numFmtId="1" fontId="5" fillId="33" borderId="10" xfId="56" applyNumberFormat="1" applyFont="1" applyFill="1" applyBorder="1" applyAlignment="1">
      <alignment horizontal="center" vertical="center"/>
      <protection/>
    </xf>
    <xf numFmtId="1" fontId="17" fillId="33" borderId="11" xfId="55" applyNumberFormat="1" applyFont="1" applyFill="1" applyBorder="1" applyAlignment="1" applyProtection="1">
      <alignment vertical="center" wrapText="1"/>
      <protection locked="0"/>
    </xf>
    <xf numFmtId="172" fontId="16" fillId="33" borderId="10" xfId="56" applyNumberFormat="1" applyFont="1" applyFill="1" applyBorder="1" applyAlignment="1">
      <alignment horizontal="center" vertical="center"/>
      <protection/>
    </xf>
    <xf numFmtId="0" fontId="16" fillId="33" borderId="10" xfId="56" applyNumberFormat="1" applyFont="1" applyFill="1" applyBorder="1" applyAlignment="1">
      <alignment horizontal="center" vertical="center"/>
      <protection/>
    </xf>
    <xf numFmtId="0" fontId="16" fillId="33" borderId="11" xfId="0" applyFont="1" applyFill="1" applyBorder="1" applyAlignment="1">
      <alignment wrapText="1"/>
    </xf>
    <xf numFmtId="0" fontId="4" fillId="0" borderId="0" xfId="56" applyFont="1" applyBorder="1" applyAlignment="1">
      <alignment horizontal="right" wrapText="1"/>
      <protection/>
    </xf>
    <xf numFmtId="49" fontId="1" fillId="0" borderId="0" xfId="0" applyNumberFormat="1" applyFont="1" applyBorder="1" applyAlignment="1">
      <alignment wrapText="1"/>
    </xf>
    <xf numFmtId="179" fontId="21" fillId="0" borderId="10" xfId="56" applyNumberFormat="1" applyFont="1" applyBorder="1" applyAlignment="1">
      <alignment horizontal="right" vertical="center"/>
      <protection/>
    </xf>
    <xf numFmtId="1" fontId="17" fillId="36" borderId="11" xfId="55" applyNumberFormat="1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>
      <alignment wrapText="1"/>
    </xf>
    <xf numFmtId="4" fontId="21" fillId="7" borderId="12" xfId="56" applyNumberFormat="1" applyFont="1" applyFill="1" applyBorder="1" applyAlignment="1">
      <alignment horizontal="right" vertical="center"/>
      <protection/>
    </xf>
    <xf numFmtId="4" fontId="19" fillId="6" borderId="10" xfId="0" applyNumberFormat="1" applyFont="1" applyFill="1" applyBorder="1" applyAlignment="1">
      <alignment horizontal="center" vertical="center"/>
    </xf>
    <xf numFmtId="4" fontId="19" fillId="6" borderId="10" xfId="56" applyNumberFormat="1" applyFont="1" applyFill="1" applyBorder="1" applyAlignment="1">
      <alignment horizontal="center" vertical="center"/>
      <protection/>
    </xf>
    <xf numFmtId="4" fontId="19" fillId="6" borderId="12" xfId="56" applyNumberFormat="1" applyFont="1" applyFill="1" applyBorder="1" applyAlignment="1">
      <alignment horizontal="center" vertical="center"/>
      <protection/>
    </xf>
    <xf numFmtId="4" fontId="19" fillId="33" borderId="12" xfId="56" applyNumberFormat="1" applyFont="1" applyFill="1" applyBorder="1" applyAlignment="1">
      <alignment horizontal="center" vertical="center"/>
      <protection/>
    </xf>
    <xf numFmtId="4" fontId="83" fillId="33" borderId="12" xfId="56" applyNumberFormat="1" applyFont="1" applyFill="1" applyBorder="1" applyAlignment="1">
      <alignment horizontal="center" vertical="center"/>
      <protection/>
    </xf>
    <xf numFmtId="4" fontId="21" fillId="6" borderId="12" xfId="56" applyNumberFormat="1" applyFont="1" applyFill="1" applyBorder="1" applyAlignment="1">
      <alignment horizontal="center" vertical="center"/>
      <protection/>
    </xf>
    <xf numFmtId="4" fontId="21" fillId="33" borderId="12" xfId="56" applyNumberFormat="1" applyFont="1" applyFill="1" applyBorder="1" applyAlignment="1">
      <alignment horizontal="center" vertical="center"/>
      <protection/>
    </xf>
    <xf numFmtId="4" fontId="84" fillId="6" borderId="12" xfId="56" applyNumberFormat="1" applyFont="1" applyFill="1" applyBorder="1" applyAlignment="1">
      <alignment horizontal="center"/>
      <protection/>
    </xf>
    <xf numFmtId="4" fontId="83" fillId="6" borderId="12" xfId="56" applyNumberFormat="1" applyFont="1" applyFill="1" applyBorder="1" applyAlignment="1">
      <alignment horizontal="center"/>
      <protection/>
    </xf>
    <xf numFmtId="4" fontId="19" fillId="33" borderId="12" xfId="56" applyNumberFormat="1" applyFont="1" applyFill="1" applyBorder="1" applyAlignment="1">
      <alignment horizontal="center"/>
      <protection/>
    </xf>
    <xf numFmtId="4" fontId="19" fillId="6" borderId="12" xfId="56" applyNumberFormat="1" applyFont="1" applyFill="1" applyBorder="1" applyAlignment="1">
      <alignment horizontal="center"/>
      <protection/>
    </xf>
    <xf numFmtId="4" fontId="21" fillId="6" borderId="12" xfId="56" applyNumberFormat="1" applyFont="1" applyFill="1" applyBorder="1" applyAlignment="1">
      <alignment horizontal="center"/>
      <protection/>
    </xf>
    <xf numFmtId="4" fontId="21" fillId="33" borderId="12" xfId="56" applyNumberFormat="1" applyFont="1" applyFill="1" applyBorder="1" applyAlignment="1">
      <alignment horizontal="center"/>
      <protection/>
    </xf>
    <xf numFmtId="181" fontId="19" fillId="33" borderId="10" xfId="0" applyNumberFormat="1" applyFont="1" applyFill="1" applyBorder="1" applyAlignment="1">
      <alignment horizontal="right"/>
    </xf>
    <xf numFmtId="181" fontId="31" fillId="34" borderId="10" xfId="0" applyNumberFormat="1" applyFont="1" applyFill="1" applyBorder="1" applyAlignment="1">
      <alignment horizontal="right"/>
    </xf>
    <xf numFmtId="181" fontId="85" fillId="7" borderId="10" xfId="0" applyNumberFormat="1" applyFont="1" applyFill="1" applyBorder="1" applyAlignment="1">
      <alignment/>
    </xf>
    <xf numFmtId="181" fontId="86" fillId="33" borderId="10" xfId="0" applyNumberFormat="1" applyFont="1" applyFill="1" applyBorder="1" applyAlignment="1">
      <alignment/>
    </xf>
    <xf numFmtId="181" fontId="19" fillId="33" borderId="10" xfId="0" applyNumberFormat="1" applyFont="1" applyFill="1" applyBorder="1" applyAlignment="1">
      <alignment/>
    </xf>
    <xf numFmtId="181" fontId="85" fillId="33" borderId="10" xfId="0" applyNumberFormat="1" applyFont="1" applyFill="1" applyBorder="1" applyAlignment="1">
      <alignment/>
    </xf>
    <xf numFmtId="172" fontId="19" fillId="33" borderId="10" xfId="0" applyNumberFormat="1" applyFont="1" applyFill="1" applyBorder="1" applyAlignment="1">
      <alignment/>
    </xf>
    <xf numFmtId="181" fontId="87" fillId="34" borderId="10" xfId="0" applyNumberFormat="1" applyFont="1" applyFill="1" applyBorder="1" applyAlignment="1">
      <alignment/>
    </xf>
    <xf numFmtId="181" fontId="88" fillId="34" borderId="10" xfId="0" applyNumberFormat="1" applyFont="1" applyFill="1" applyBorder="1" applyAlignment="1">
      <alignment/>
    </xf>
    <xf numFmtId="2" fontId="19" fillId="33" borderId="10" xfId="0" applyNumberFormat="1" applyFont="1" applyFill="1" applyBorder="1" applyAlignment="1">
      <alignment/>
    </xf>
    <xf numFmtId="181" fontId="31" fillId="33" borderId="10" xfId="0" applyNumberFormat="1" applyFont="1" applyFill="1" applyBorder="1" applyAlignment="1">
      <alignment horizontal="right"/>
    </xf>
    <xf numFmtId="4" fontId="19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justify" vertical="center"/>
    </xf>
    <xf numFmtId="4" fontId="13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89" fillId="0" borderId="0" xfId="0" applyFont="1" applyAlignment="1">
      <alignment/>
    </xf>
    <xf numFmtId="4" fontId="5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49" fontId="11" fillId="7" borderId="10" xfId="0" applyNumberFormat="1" applyFont="1" applyFill="1" applyBorder="1" applyAlignment="1">
      <alignment/>
    </xf>
    <xf numFmtId="49" fontId="11" fillId="7" borderId="10" xfId="0" applyNumberFormat="1" applyFont="1" applyFill="1" applyBorder="1" applyAlignment="1">
      <alignment horizontal="center" wrapText="1"/>
    </xf>
    <xf numFmtId="49" fontId="11" fillId="7" borderId="10" xfId="0" applyNumberFormat="1" applyFont="1" applyFill="1" applyBorder="1" applyAlignment="1">
      <alignment horizontal="right"/>
    </xf>
    <xf numFmtId="181" fontId="86" fillId="7" borderId="10" xfId="0" applyNumberFormat="1" applyFont="1" applyFill="1" applyBorder="1" applyAlignment="1">
      <alignment/>
    </xf>
    <xf numFmtId="181" fontId="19" fillId="7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6" fillId="0" borderId="12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top" wrapText="1"/>
      <protection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right" wrapText="1"/>
    </xf>
    <xf numFmtId="0" fontId="10" fillId="0" borderId="0" xfId="0" applyNumberFormat="1" applyFont="1" applyAlignment="1">
      <alignment horizontal="right"/>
    </xf>
    <xf numFmtId="49" fontId="11" fillId="32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81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right"/>
    </xf>
    <xf numFmtId="0" fontId="4" fillId="0" borderId="0" xfId="56" applyFont="1" applyBorder="1" applyAlignment="1">
      <alignment horizontal="right" wrapText="1"/>
      <protection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10" fillId="0" borderId="0" xfId="0" applyNumberFormat="1" applyFont="1" applyAlignment="1">
      <alignment horizontal="right" wrapText="1"/>
    </xf>
    <xf numFmtId="0" fontId="2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  <xf numFmtId="181" fontId="90" fillId="33" borderId="10" xfId="0" applyNumberFormat="1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район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33">
      <selection activeCell="O5" sqref="O5"/>
    </sheetView>
  </sheetViews>
  <sheetFormatPr defaultColWidth="9.00390625" defaultRowHeight="12.75"/>
  <cols>
    <col min="1" max="1" width="5.25390625" style="1" customWidth="1"/>
    <col min="2" max="2" width="27.75390625" style="32" customWidth="1"/>
    <col min="3" max="3" width="4.625" style="32" customWidth="1"/>
    <col min="4" max="6" width="3.25390625" style="32" customWidth="1"/>
    <col min="7" max="7" width="4.25390625" style="32" customWidth="1"/>
    <col min="8" max="8" width="4.625" style="32" customWidth="1"/>
    <col min="9" max="9" width="5.75390625" style="32" customWidth="1"/>
    <col min="10" max="10" width="5.00390625" style="32" customWidth="1"/>
    <col min="11" max="11" width="10.125" style="1" customWidth="1"/>
    <col min="12" max="13" width="10.375" style="1" customWidth="1"/>
    <col min="14" max="14" width="7.00390625" style="1" customWidth="1"/>
    <col min="15" max="16384" width="9.125" style="1" customWidth="1"/>
  </cols>
  <sheetData>
    <row r="1" spans="9:13" ht="12.75">
      <c r="I1" s="215" t="s">
        <v>313</v>
      </c>
      <c r="J1" s="216"/>
      <c r="K1" s="216"/>
      <c r="L1" s="216"/>
      <c r="M1" s="216"/>
    </row>
    <row r="2" spans="1:13" ht="79.5" customHeight="1">
      <c r="A2" s="20"/>
      <c r="C2" s="85"/>
      <c r="D2" s="86"/>
      <c r="E2" s="86"/>
      <c r="F2" s="86"/>
      <c r="G2" s="86"/>
      <c r="H2" s="86"/>
      <c r="I2" s="225" t="s">
        <v>375</v>
      </c>
      <c r="J2" s="226"/>
      <c r="K2" s="226"/>
      <c r="L2" s="226"/>
      <c r="M2" s="226"/>
    </row>
    <row r="3" spans="1:13" ht="20.25" customHeight="1">
      <c r="A3" s="217" t="s">
        <v>181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  <c r="L3" s="219"/>
      <c r="M3" s="219"/>
    </row>
    <row r="4" spans="1:13" ht="21" customHeight="1">
      <c r="A4" s="217" t="s">
        <v>321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11.25" customHeight="1">
      <c r="A5" s="87"/>
      <c r="B5" s="52"/>
      <c r="C5" s="88"/>
      <c r="D5" s="88"/>
      <c r="E5" s="88"/>
      <c r="F5" s="88"/>
      <c r="G5" s="88"/>
      <c r="H5" s="88"/>
      <c r="I5" s="88"/>
      <c r="J5" s="88"/>
      <c r="K5" s="88"/>
      <c r="L5" s="88"/>
      <c r="M5" s="88" t="s">
        <v>163</v>
      </c>
    </row>
    <row r="6" spans="1:13" ht="19.5" customHeight="1">
      <c r="A6" s="220"/>
      <c r="B6" s="222" t="s">
        <v>37</v>
      </c>
      <c r="C6" s="224" t="s">
        <v>38</v>
      </c>
      <c r="D6" s="224"/>
      <c r="E6" s="224"/>
      <c r="F6" s="224"/>
      <c r="G6" s="224"/>
      <c r="H6" s="224"/>
      <c r="I6" s="224"/>
      <c r="J6" s="224"/>
      <c r="K6" s="89"/>
      <c r="L6" s="27"/>
      <c r="M6" s="27"/>
    </row>
    <row r="7" spans="1:13" ht="51" customHeight="1">
      <c r="A7" s="221"/>
      <c r="B7" s="223"/>
      <c r="C7" s="91" t="s">
        <v>39</v>
      </c>
      <c r="D7" s="91" t="s">
        <v>40</v>
      </c>
      <c r="E7" s="91" t="s">
        <v>41</v>
      </c>
      <c r="F7" s="91" t="s">
        <v>42</v>
      </c>
      <c r="G7" s="91" t="s">
        <v>43</v>
      </c>
      <c r="H7" s="91" t="s">
        <v>44</v>
      </c>
      <c r="I7" s="91" t="s">
        <v>137</v>
      </c>
      <c r="J7" s="92" t="s">
        <v>138</v>
      </c>
      <c r="K7" s="93" t="s">
        <v>304</v>
      </c>
      <c r="L7" s="63" t="s">
        <v>302</v>
      </c>
      <c r="M7" s="63" t="s">
        <v>322</v>
      </c>
    </row>
    <row r="8" spans="1:13" ht="15" customHeight="1">
      <c r="A8" s="90"/>
      <c r="B8" s="94" t="s">
        <v>72</v>
      </c>
      <c r="C8" s="95"/>
      <c r="D8" s="95"/>
      <c r="E8" s="95"/>
      <c r="F8" s="95"/>
      <c r="G8" s="95"/>
      <c r="H8" s="95"/>
      <c r="I8" s="95"/>
      <c r="J8" s="95"/>
      <c r="K8" s="177">
        <f>K9+K44</f>
        <v>19465.192</v>
      </c>
      <c r="L8" s="96">
        <f>L9+L44</f>
        <v>13122.58</v>
      </c>
      <c r="M8" s="96">
        <f>M9+M44</f>
        <v>10741.07</v>
      </c>
    </row>
    <row r="9" spans="1:13" ht="23.25" customHeight="1">
      <c r="A9" s="97" t="s">
        <v>45</v>
      </c>
      <c r="B9" s="98" t="s">
        <v>46</v>
      </c>
      <c r="C9" s="99" t="s">
        <v>47</v>
      </c>
      <c r="D9" s="99" t="s">
        <v>48</v>
      </c>
      <c r="E9" s="99" t="s">
        <v>49</v>
      </c>
      <c r="F9" s="99" t="s">
        <v>49</v>
      </c>
      <c r="G9" s="99" t="s">
        <v>47</v>
      </c>
      <c r="H9" s="99" t="s">
        <v>49</v>
      </c>
      <c r="I9" s="99" t="s">
        <v>50</v>
      </c>
      <c r="J9" s="99" t="s">
        <v>47</v>
      </c>
      <c r="K9" s="178">
        <f>K10+K23+K28+K30+K38+K39+K40+K42</f>
        <v>9745.69</v>
      </c>
      <c r="L9" s="178">
        <f>L10+L23+L28+L30+L38+L40</f>
        <v>8052.79</v>
      </c>
      <c r="M9" s="178">
        <f>M10+M23+M28+M30+M38+M40</f>
        <v>8362.17</v>
      </c>
    </row>
    <row r="10" spans="1:13" ht="19.5" customHeight="1">
      <c r="A10" s="100" t="s">
        <v>51</v>
      </c>
      <c r="B10" s="101" t="s">
        <v>52</v>
      </c>
      <c r="C10" s="102" t="s">
        <v>53</v>
      </c>
      <c r="D10" s="102" t="s">
        <v>48</v>
      </c>
      <c r="E10" s="102" t="s">
        <v>6</v>
      </c>
      <c r="F10" s="102" t="s">
        <v>12</v>
      </c>
      <c r="G10" s="102" t="s">
        <v>47</v>
      </c>
      <c r="H10" s="102" t="s">
        <v>6</v>
      </c>
      <c r="I10" s="102" t="s">
        <v>50</v>
      </c>
      <c r="J10" s="102" t="s">
        <v>54</v>
      </c>
      <c r="K10" s="179">
        <f>SUM(K11:K22)</f>
        <v>4277</v>
      </c>
      <c r="L10" s="179">
        <f>SUM(L11:L22)</f>
        <v>2099</v>
      </c>
      <c r="M10" s="179">
        <f>SUM(M11:M22)</f>
        <v>2218</v>
      </c>
    </row>
    <row r="11" spans="1:15" ht="75.75" customHeight="1">
      <c r="A11" s="103" t="s">
        <v>55</v>
      </c>
      <c r="B11" s="104" t="s">
        <v>368</v>
      </c>
      <c r="C11" s="105" t="s">
        <v>53</v>
      </c>
      <c r="D11" s="105" t="s">
        <v>48</v>
      </c>
      <c r="E11" s="105" t="s">
        <v>6</v>
      </c>
      <c r="F11" s="105" t="s">
        <v>12</v>
      </c>
      <c r="G11" s="105" t="s">
        <v>288</v>
      </c>
      <c r="H11" s="105" t="s">
        <v>6</v>
      </c>
      <c r="I11" s="105" t="s">
        <v>50</v>
      </c>
      <c r="J11" s="105" t="s">
        <v>54</v>
      </c>
      <c r="K11" s="180">
        <f>1591+118.17-1.48</f>
        <v>1707.69</v>
      </c>
      <c r="L11" s="181">
        <v>1702</v>
      </c>
      <c r="M11" s="181">
        <v>1821</v>
      </c>
      <c r="N11" s="1">
        <v>118.17</v>
      </c>
      <c r="O11" s="1">
        <v>-1.48</v>
      </c>
    </row>
    <row r="12" spans="1:13" ht="80.25" customHeight="1" hidden="1">
      <c r="A12" s="103"/>
      <c r="B12" s="106" t="s">
        <v>293</v>
      </c>
      <c r="C12" s="105" t="s">
        <v>53</v>
      </c>
      <c r="D12" s="105" t="s">
        <v>48</v>
      </c>
      <c r="E12" s="105" t="s">
        <v>6</v>
      </c>
      <c r="F12" s="105" t="s">
        <v>12</v>
      </c>
      <c r="G12" s="105" t="s">
        <v>288</v>
      </c>
      <c r="H12" s="105" t="s">
        <v>6</v>
      </c>
      <c r="I12" s="105" t="s">
        <v>50</v>
      </c>
      <c r="J12" s="105" t="s">
        <v>54</v>
      </c>
      <c r="K12" s="180">
        <v>0</v>
      </c>
      <c r="L12" s="181">
        <v>0</v>
      </c>
      <c r="M12" s="181">
        <v>0</v>
      </c>
    </row>
    <row r="13" spans="1:13" ht="99" customHeight="1" hidden="1">
      <c r="A13" s="103"/>
      <c r="B13" s="106" t="s">
        <v>289</v>
      </c>
      <c r="C13" s="105" t="s">
        <v>53</v>
      </c>
      <c r="D13" s="105" t="s">
        <v>48</v>
      </c>
      <c r="E13" s="105" t="s">
        <v>6</v>
      </c>
      <c r="F13" s="105" t="s">
        <v>12</v>
      </c>
      <c r="G13" s="105" t="s">
        <v>288</v>
      </c>
      <c r="H13" s="105" t="s">
        <v>6</v>
      </c>
      <c r="I13" s="105" t="s">
        <v>50</v>
      </c>
      <c r="J13" s="105" t="s">
        <v>54</v>
      </c>
      <c r="K13" s="180">
        <v>0</v>
      </c>
      <c r="L13" s="181">
        <v>0</v>
      </c>
      <c r="M13" s="181">
        <v>0</v>
      </c>
    </row>
    <row r="14" spans="1:13" ht="78" customHeight="1" hidden="1">
      <c r="A14" s="103"/>
      <c r="B14" s="106" t="s">
        <v>290</v>
      </c>
      <c r="C14" s="105" t="s">
        <v>53</v>
      </c>
      <c r="D14" s="105" t="s">
        <v>48</v>
      </c>
      <c r="E14" s="105" t="s">
        <v>6</v>
      </c>
      <c r="F14" s="105" t="s">
        <v>12</v>
      </c>
      <c r="G14" s="105" t="s">
        <v>193</v>
      </c>
      <c r="H14" s="105" t="s">
        <v>6</v>
      </c>
      <c r="I14" s="105" t="s">
        <v>50</v>
      </c>
      <c r="J14" s="105" t="s">
        <v>54</v>
      </c>
      <c r="K14" s="180">
        <v>0</v>
      </c>
      <c r="L14" s="181">
        <v>0</v>
      </c>
      <c r="M14" s="181">
        <v>0</v>
      </c>
    </row>
    <row r="15" spans="1:13" ht="129.75" customHeight="1" hidden="1">
      <c r="A15" s="103"/>
      <c r="B15" s="106" t="s">
        <v>287</v>
      </c>
      <c r="C15" s="105" t="s">
        <v>53</v>
      </c>
      <c r="D15" s="105" t="s">
        <v>48</v>
      </c>
      <c r="E15" s="105" t="s">
        <v>6</v>
      </c>
      <c r="F15" s="107" t="s">
        <v>12</v>
      </c>
      <c r="G15" s="107" t="s">
        <v>194</v>
      </c>
      <c r="H15" s="105" t="s">
        <v>6</v>
      </c>
      <c r="I15" s="105" t="s">
        <v>50</v>
      </c>
      <c r="J15" s="105" t="s">
        <v>54</v>
      </c>
      <c r="K15" s="180">
        <v>0</v>
      </c>
      <c r="L15" s="181">
        <v>0</v>
      </c>
      <c r="M15" s="181">
        <v>0</v>
      </c>
    </row>
    <row r="16" spans="1:13" ht="132" customHeight="1" hidden="1">
      <c r="A16" s="103"/>
      <c r="B16" s="106" t="s">
        <v>295</v>
      </c>
      <c r="C16" s="105" t="s">
        <v>53</v>
      </c>
      <c r="D16" s="105" t="s">
        <v>48</v>
      </c>
      <c r="E16" s="105" t="s">
        <v>6</v>
      </c>
      <c r="F16" s="107" t="s">
        <v>12</v>
      </c>
      <c r="G16" s="107" t="s">
        <v>194</v>
      </c>
      <c r="H16" s="105" t="s">
        <v>6</v>
      </c>
      <c r="I16" s="105" t="s">
        <v>50</v>
      </c>
      <c r="J16" s="105" t="s">
        <v>54</v>
      </c>
      <c r="K16" s="180">
        <v>0</v>
      </c>
      <c r="L16" s="181">
        <v>0</v>
      </c>
      <c r="M16" s="181">
        <v>0</v>
      </c>
    </row>
    <row r="17" spans="1:15" ht="79.5" customHeight="1">
      <c r="A17" s="108" t="s">
        <v>57</v>
      </c>
      <c r="B17" s="104" t="s">
        <v>291</v>
      </c>
      <c r="C17" s="105" t="s">
        <v>53</v>
      </c>
      <c r="D17" s="105" t="s">
        <v>48</v>
      </c>
      <c r="E17" s="105" t="s">
        <v>6</v>
      </c>
      <c r="F17" s="105" t="s">
        <v>12</v>
      </c>
      <c r="G17" s="105" t="s">
        <v>195</v>
      </c>
      <c r="H17" s="105" t="s">
        <v>6</v>
      </c>
      <c r="I17" s="105" t="s">
        <v>50</v>
      </c>
      <c r="J17" s="105" t="s">
        <v>54</v>
      </c>
      <c r="K17" s="180">
        <f>150-146.05+1.48</f>
        <v>5.429999999999989</v>
      </c>
      <c r="L17" s="181">
        <v>150</v>
      </c>
      <c r="M17" s="181">
        <v>150</v>
      </c>
      <c r="N17" s="1">
        <v>-146.05</v>
      </c>
      <c r="O17" s="1">
        <v>1.48</v>
      </c>
    </row>
    <row r="18" spans="1:13" ht="55.5" customHeight="1" hidden="1">
      <c r="A18" s="108"/>
      <c r="B18" s="104" t="s">
        <v>292</v>
      </c>
      <c r="C18" s="105" t="s">
        <v>53</v>
      </c>
      <c r="D18" s="105" t="s">
        <v>48</v>
      </c>
      <c r="E18" s="105" t="s">
        <v>6</v>
      </c>
      <c r="F18" s="105" t="s">
        <v>12</v>
      </c>
      <c r="G18" s="105" t="s">
        <v>58</v>
      </c>
      <c r="H18" s="105" t="s">
        <v>6</v>
      </c>
      <c r="I18" s="105" t="s">
        <v>50</v>
      </c>
      <c r="J18" s="105" t="s">
        <v>54</v>
      </c>
      <c r="K18" s="180">
        <v>0</v>
      </c>
      <c r="L18" s="181">
        <v>0</v>
      </c>
      <c r="M18" s="181">
        <v>0</v>
      </c>
    </row>
    <row r="19" spans="1:13" ht="79.5" customHeight="1" hidden="1">
      <c r="A19" s="108"/>
      <c r="B19" s="104" t="s">
        <v>294</v>
      </c>
      <c r="C19" s="105" t="s">
        <v>53</v>
      </c>
      <c r="D19" s="105" t="s">
        <v>48</v>
      </c>
      <c r="E19" s="105" t="s">
        <v>6</v>
      </c>
      <c r="F19" s="105" t="s">
        <v>12</v>
      </c>
      <c r="G19" s="105" t="s">
        <v>58</v>
      </c>
      <c r="H19" s="105" t="s">
        <v>6</v>
      </c>
      <c r="I19" s="105" t="s">
        <v>50</v>
      </c>
      <c r="J19" s="105" t="s">
        <v>54</v>
      </c>
      <c r="K19" s="180">
        <v>0</v>
      </c>
      <c r="L19" s="181">
        <v>0</v>
      </c>
      <c r="M19" s="181">
        <v>0</v>
      </c>
    </row>
    <row r="20" spans="1:14" ht="102" customHeight="1">
      <c r="A20" s="108" t="s">
        <v>308</v>
      </c>
      <c r="B20" s="104" t="s">
        <v>306</v>
      </c>
      <c r="C20" s="105" t="s">
        <v>53</v>
      </c>
      <c r="D20" s="105" t="s">
        <v>48</v>
      </c>
      <c r="E20" s="105" t="s">
        <v>6</v>
      </c>
      <c r="F20" s="105" t="s">
        <v>12</v>
      </c>
      <c r="G20" s="105" t="s">
        <v>307</v>
      </c>
      <c r="H20" s="105" t="s">
        <v>6</v>
      </c>
      <c r="I20" s="105" t="s">
        <v>50</v>
      </c>
      <c r="J20" s="105" t="s">
        <v>54</v>
      </c>
      <c r="K20" s="180">
        <f>247+2389-246.91</f>
        <v>2389.09</v>
      </c>
      <c r="L20" s="181">
        <v>247</v>
      </c>
      <c r="M20" s="181">
        <v>247</v>
      </c>
      <c r="N20" s="1">
        <v>-246.91</v>
      </c>
    </row>
    <row r="21" spans="1:14" ht="75.75" customHeight="1">
      <c r="A21" s="108" t="s">
        <v>356</v>
      </c>
      <c r="B21" s="104" t="s">
        <v>292</v>
      </c>
      <c r="C21" s="105" t="s">
        <v>53</v>
      </c>
      <c r="D21" s="105" t="s">
        <v>48</v>
      </c>
      <c r="E21" s="105" t="s">
        <v>6</v>
      </c>
      <c r="F21" s="105" t="s">
        <v>12</v>
      </c>
      <c r="G21" s="105" t="s">
        <v>178</v>
      </c>
      <c r="H21" s="105" t="s">
        <v>6</v>
      </c>
      <c r="I21" s="105" t="s">
        <v>50</v>
      </c>
      <c r="J21" s="105" t="s">
        <v>54</v>
      </c>
      <c r="K21" s="180">
        <v>42.7</v>
      </c>
      <c r="L21" s="181"/>
      <c r="M21" s="181"/>
      <c r="N21" s="1">
        <v>42.7</v>
      </c>
    </row>
    <row r="22" spans="1:14" ht="79.5" customHeight="1">
      <c r="A22" s="108" t="s">
        <v>357</v>
      </c>
      <c r="B22" s="104" t="s">
        <v>294</v>
      </c>
      <c r="C22" s="105" t="s">
        <v>53</v>
      </c>
      <c r="D22" s="105" t="s">
        <v>48</v>
      </c>
      <c r="E22" s="105" t="s">
        <v>6</v>
      </c>
      <c r="F22" s="105" t="s">
        <v>12</v>
      </c>
      <c r="G22" s="105" t="s">
        <v>355</v>
      </c>
      <c r="H22" s="105" t="s">
        <v>6</v>
      </c>
      <c r="I22" s="105" t="s">
        <v>50</v>
      </c>
      <c r="J22" s="105" t="s">
        <v>54</v>
      </c>
      <c r="K22" s="180">
        <v>132.09</v>
      </c>
      <c r="L22" s="181"/>
      <c r="M22" s="181"/>
      <c r="N22" s="1">
        <v>132.09</v>
      </c>
    </row>
    <row r="23" spans="1:13" ht="33.75" customHeight="1">
      <c r="A23" s="100">
        <v>2</v>
      </c>
      <c r="B23" s="109" t="s">
        <v>87</v>
      </c>
      <c r="C23" s="102" t="s">
        <v>118</v>
      </c>
      <c r="D23" s="102" t="s">
        <v>48</v>
      </c>
      <c r="E23" s="102" t="s">
        <v>16</v>
      </c>
      <c r="F23" s="102" t="s">
        <v>12</v>
      </c>
      <c r="G23" s="102" t="s">
        <v>47</v>
      </c>
      <c r="H23" s="102" t="s">
        <v>6</v>
      </c>
      <c r="I23" s="102" t="s">
        <v>50</v>
      </c>
      <c r="J23" s="102" t="s">
        <v>54</v>
      </c>
      <c r="K23" s="180">
        <f>SUM(K24:K27)</f>
        <v>1350.9699999999998</v>
      </c>
      <c r="L23" s="182">
        <f>SUM(L24:L27)</f>
        <v>1231.42</v>
      </c>
      <c r="M23" s="182">
        <f>SUM(M24:M27)</f>
        <v>1341.8</v>
      </c>
    </row>
    <row r="24" spans="1:14" ht="66.75" customHeight="1">
      <c r="A24" s="108" t="s">
        <v>33</v>
      </c>
      <c r="B24" s="104" t="s">
        <v>88</v>
      </c>
      <c r="C24" s="105" t="s">
        <v>118</v>
      </c>
      <c r="D24" s="105" t="s">
        <v>48</v>
      </c>
      <c r="E24" s="105" t="s">
        <v>16</v>
      </c>
      <c r="F24" s="105" t="s">
        <v>12</v>
      </c>
      <c r="G24" s="105" t="s">
        <v>196</v>
      </c>
      <c r="H24" s="105" t="s">
        <v>6</v>
      </c>
      <c r="I24" s="105" t="s">
        <v>50</v>
      </c>
      <c r="J24" s="105" t="s">
        <v>54</v>
      </c>
      <c r="K24" s="180">
        <f>520.91+180</f>
        <v>700.91</v>
      </c>
      <c r="L24" s="182">
        <v>519.46</v>
      </c>
      <c r="M24" s="182">
        <v>519.46</v>
      </c>
      <c r="N24" s="1">
        <v>180</v>
      </c>
    </row>
    <row r="25" spans="1:14" ht="86.25" customHeight="1">
      <c r="A25" s="108" t="s">
        <v>115</v>
      </c>
      <c r="B25" s="104" t="s">
        <v>89</v>
      </c>
      <c r="C25" s="105" t="s">
        <v>118</v>
      </c>
      <c r="D25" s="105" t="s">
        <v>48</v>
      </c>
      <c r="E25" s="105" t="s">
        <v>16</v>
      </c>
      <c r="F25" s="105" t="s">
        <v>12</v>
      </c>
      <c r="G25" s="105" t="s">
        <v>197</v>
      </c>
      <c r="H25" s="105" t="s">
        <v>6</v>
      </c>
      <c r="I25" s="105" t="s">
        <v>50</v>
      </c>
      <c r="J25" s="105" t="s">
        <v>54</v>
      </c>
      <c r="K25" s="180">
        <f>2.92+0.75</f>
        <v>3.67</v>
      </c>
      <c r="L25" s="182">
        <v>3</v>
      </c>
      <c r="M25" s="182">
        <v>3</v>
      </c>
      <c r="N25" s="1">
        <v>0.75</v>
      </c>
    </row>
    <row r="26" spans="1:14" ht="64.5" customHeight="1">
      <c r="A26" s="108" t="s">
        <v>116</v>
      </c>
      <c r="B26" s="104" t="s">
        <v>90</v>
      </c>
      <c r="C26" s="105" t="s">
        <v>118</v>
      </c>
      <c r="D26" s="105" t="s">
        <v>48</v>
      </c>
      <c r="E26" s="105" t="s">
        <v>16</v>
      </c>
      <c r="F26" s="105" t="s">
        <v>12</v>
      </c>
      <c r="G26" s="105" t="s">
        <v>198</v>
      </c>
      <c r="H26" s="105" t="s">
        <v>6</v>
      </c>
      <c r="I26" s="105" t="s">
        <v>50</v>
      </c>
      <c r="J26" s="105" t="s">
        <v>54</v>
      </c>
      <c r="K26" s="180">
        <f>705.04+20</f>
        <v>725.04</v>
      </c>
      <c r="L26" s="182">
        <v>724.02</v>
      </c>
      <c r="M26" s="182">
        <v>724.02</v>
      </c>
      <c r="N26" s="1">
        <v>20</v>
      </c>
    </row>
    <row r="27" spans="1:14" ht="73.5" customHeight="1">
      <c r="A27" s="108" t="s">
        <v>117</v>
      </c>
      <c r="B27" s="104" t="s">
        <v>91</v>
      </c>
      <c r="C27" s="105" t="s">
        <v>118</v>
      </c>
      <c r="D27" s="105" t="s">
        <v>48</v>
      </c>
      <c r="E27" s="105" t="s">
        <v>16</v>
      </c>
      <c r="F27" s="105" t="s">
        <v>12</v>
      </c>
      <c r="G27" s="105" t="s">
        <v>199</v>
      </c>
      <c r="H27" s="105" t="s">
        <v>6</v>
      </c>
      <c r="I27" s="105" t="s">
        <v>50</v>
      </c>
      <c r="J27" s="105" t="s">
        <v>54</v>
      </c>
      <c r="K27" s="180">
        <f>-64.55+15.9-30</f>
        <v>-78.65</v>
      </c>
      <c r="L27" s="182">
        <f>-66.66+51.6</f>
        <v>-15.059999999999995</v>
      </c>
      <c r="M27" s="182">
        <f>-66.66+161.98</f>
        <v>95.32</v>
      </c>
      <c r="N27" s="1">
        <v>-30</v>
      </c>
    </row>
    <row r="28" spans="1:13" ht="19.5" customHeight="1">
      <c r="A28" s="110">
        <v>3</v>
      </c>
      <c r="B28" s="109" t="s">
        <v>153</v>
      </c>
      <c r="C28" s="102" t="s">
        <v>53</v>
      </c>
      <c r="D28" s="102" t="s">
        <v>48</v>
      </c>
      <c r="E28" s="102" t="s">
        <v>11</v>
      </c>
      <c r="F28" s="102" t="s">
        <v>49</v>
      </c>
      <c r="G28" s="102" t="s">
        <v>47</v>
      </c>
      <c r="H28" s="102" t="s">
        <v>49</v>
      </c>
      <c r="I28" s="102" t="s">
        <v>50</v>
      </c>
      <c r="J28" s="102" t="s">
        <v>47</v>
      </c>
      <c r="K28" s="180">
        <f>K29</f>
        <v>0</v>
      </c>
      <c r="L28" s="181">
        <f>L29</f>
        <v>223</v>
      </c>
      <c r="M28" s="181">
        <f>M29</f>
        <v>223</v>
      </c>
    </row>
    <row r="29" spans="1:14" ht="61.5" customHeight="1">
      <c r="A29" s="108" t="s">
        <v>62</v>
      </c>
      <c r="B29" s="104" t="s">
        <v>296</v>
      </c>
      <c r="C29" s="105" t="s">
        <v>53</v>
      </c>
      <c r="D29" s="105" t="s">
        <v>48</v>
      </c>
      <c r="E29" s="105" t="s">
        <v>11</v>
      </c>
      <c r="F29" s="105" t="s">
        <v>16</v>
      </c>
      <c r="G29" s="105" t="s">
        <v>56</v>
      </c>
      <c r="H29" s="105" t="s">
        <v>6</v>
      </c>
      <c r="I29" s="105" t="s">
        <v>50</v>
      </c>
      <c r="J29" s="105" t="s">
        <v>54</v>
      </c>
      <c r="K29" s="180">
        <f>213-213</f>
        <v>0</v>
      </c>
      <c r="L29" s="181">
        <v>223</v>
      </c>
      <c r="M29" s="181">
        <v>223</v>
      </c>
      <c r="N29" s="1">
        <v>-213</v>
      </c>
    </row>
    <row r="30" spans="1:13" ht="23.25" customHeight="1">
      <c r="A30" s="111">
        <v>4</v>
      </c>
      <c r="B30" s="112" t="s">
        <v>124</v>
      </c>
      <c r="C30" s="102" t="s">
        <v>53</v>
      </c>
      <c r="D30" s="102" t="s">
        <v>48</v>
      </c>
      <c r="E30" s="102" t="s">
        <v>61</v>
      </c>
      <c r="F30" s="102" t="s">
        <v>49</v>
      </c>
      <c r="G30" s="102" t="s">
        <v>47</v>
      </c>
      <c r="H30" s="102" t="s">
        <v>49</v>
      </c>
      <c r="I30" s="102" t="s">
        <v>50</v>
      </c>
      <c r="J30" s="102" t="s">
        <v>47</v>
      </c>
      <c r="K30" s="180">
        <f>SUM(K31:K33)</f>
        <v>3295</v>
      </c>
      <c r="L30" s="181">
        <f>SUM(L31:L33)</f>
        <v>4405</v>
      </c>
      <c r="M30" s="181">
        <f>SUM(M31:M33)</f>
        <v>4485</v>
      </c>
    </row>
    <row r="31" spans="1:14" ht="73.5" customHeight="1">
      <c r="A31" s="113" t="s">
        <v>111</v>
      </c>
      <c r="B31" s="114" t="s">
        <v>371</v>
      </c>
      <c r="C31" s="115" t="s">
        <v>53</v>
      </c>
      <c r="D31" s="115" t="s">
        <v>48</v>
      </c>
      <c r="E31" s="115" t="s">
        <v>61</v>
      </c>
      <c r="F31" s="115" t="s">
        <v>6</v>
      </c>
      <c r="G31" s="115" t="s">
        <v>58</v>
      </c>
      <c r="H31" s="115" t="s">
        <v>14</v>
      </c>
      <c r="I31" s="115" t="s">
        <v>50</v>
      </c>
      <c r="J31" s="115" t="s">
        <v>54</v>
      </c>
      <c r="K31" s="180">
        <f>1033-400</f>
        <v>633</v>
      </c>
      <c r="L31" s="181">
        <v>1076</v>
      </c>
      <c r="M31" s="181">
        <v>1098</v>
      </c>
      <c r="N31" s="1">
        <v>-400</v>
      </c>
    </row>
    <row r="32" spans="1:13" ht="63.75" customHeight="1" hidden="1">
      <c r="A32" s="113"/>
      <c r="B32" s="114" t="s">
        <v>297</v>
      </c>
      <c r="C32" s="115" t="s">
        <v>53</v>
      </c>
      <c r="D32" s="115" t="s">
        <v>48</v>
      </c>
      <c r="E32" s="115" t="s">
        <v>61</v>
      </c>
      <c r="F32" s="115" t="s">
        <v>6</v>
      </c>
      <c r="G32" s="115" t="s">
        <v>58</v>
      </c>
      <c r="H32" s="115" t="s">
        <v>14</v>
      </c>
      <c r="I32" s="115" t="s">
        <v>50</v>
      </c>
      <c r="J32" s="115" t="s">
        <v>54</v>
      </c>
      <c r="K32" s="180">
        <v>0</v>
      </c>
      <c r="L32" s="181">
        <v>0</v>
      </c>
      <c r="M32" s="181">
        <v>0</v>
      </c>
    </row>
    <row r="33" spans="1:13" ht="23.25" customHeight="1">
      <c r="A33" s="116" t="s">
        <v>154</v>
      </c>
      <c r="B33" s="117" t="s">
        <v>64</v>
      </c>
      <c r="C33" s="107" t="s">
        <v>53</v>
      </c>
      <c r="D33" s="107" t="s">
        <v>48</v>
      </c>
      <c r="E33" s="107" t="s">
        <v>61</v>
      </c>
      <c r="F33" s="107" t="s">
        <v>61</v>
      </c>
      <c r="G33" s="107" t="s">
        <v>47</v>
      </c>
      <c r="H33" s="107" t="s">
        <v>49</v>
      </c>
      <c r="I33" s="107" t="s">
        <v>50</v>
      </c>
      <c r="J33" s="107" t="s">
        <v>47</v>
      </c>
      <c r="K33" s="183">
        <f>SUM(K34:K37)</f>
        <v>2662</v>
      </c>
      <c r="L33" s="184">
        <f>SUM(L34:L37)</f>
        <v>3329</v>
      </c>
      <c r="M33" s="184">
        <f>SUM(M34:M37)</f>
        <v>3387</v>
      </c>
    </row>
    <row r="34" spans="1:15" ht="62.25" customHeight="1">
      <c r="A34" s="113" t="s">
        <v>162</v>
      </c>
      <c r="B34" s="114" t="s">
        <v>372</v>
      </c>
      <c r="C34" s="115" t="s">
        <v>53</v>
      </c>
      <c r="D34" s="115" t="s">
        <v>48</v>
      </c>
      <c r="E34" s="115" t="s">
        <v>61</v>
      </c>
      <c r="F34" s="115" t="s">
        <v>61</v>
      </c>
      <c r="G34" s="115" t="s">
        <v>200</v>
      </c>
      <c r="H34" s="115" t="s">
        <v>14</v>
      </c>
      <c r="I34" s="115" t="s">
        <v>50</v>
      </c>
      <c r="J34" s="115" t="s">
        <v>54</v>
      </c>
      <c r="K34" s="180">
        <f>2014-500+80-75</f>
        <v>1519</v>
      </c>
      <c r="L34" s="181">
        <v>2031</v>
      </c>
      <c r="M34" s="181">
        <v>2050</v>
      </c>
      <c r="N34" s="1">
        <f>-500+80</f>
        <v>-420</v>
      </c>
      <c r="O34" s="1">
        <v>-75</v>
      </c>
    </row>
    <row r="35" spans="1:13" ht="60" customHeight="1" hidden="1">
      <c r="A35" s="113"/>
      <c r="B35" s="114" t="s">
        <v>298</v>
      </c>
      <c r="C35" s="115" t="s">
        <v>53</v>
      </c>
      <c r="D35" s="115" t="s">
        <v>48</v>
      </c>
      <c r="E35" s="115" t="s">
        <v>61</v>
      </c>
      <c r="F35" s="115" t="s">
        <v>61</v>
      </c>
      <c r="G35" s="115" t="s">
        <v>123</v>
      </c>
      <c r="H35" s="115" t="s">
        <v>14</v>
      </c>
      <c r="I35" s="115" t="s">
        <v>50</v>
      </c>
      <c r="J35" s="115" t="s">
        <v>54</v>
      </c>
      <c r="K35" s="180">
        <v>0</v>
      </c>
      <c r="L35" s="181">
        <v>0</v>
      </c>
      <c r="M35" s="181">
        <v>0</v>
      </c>
    </row>
    <row r="36" spans="1:15" ht="73.5" customHeight="1">
      <c r="A36" s="113" t="s">
        <v>155</v>
      </c>
      <c r="B36" s="114" t="s">
        <v>373</v>
      </c>
      <c r="C36" s="118" t="s">
        <v>53</v>
      </c>
      <c r="D36" s="118" t="s">
        <v>48</v>
      </c>
      <c r="E36" s="118" t="s">
        <v>61</v>
      </c>
      <c r="F36" s="118" t="s">
        <v>61</v>
      </c>
      <c r="G36" s="115" t="s">
        <v>201</v>
      </c>
      <c r="H36" s="118" t="s">
        <v>14</v>
      </c>
      <c r="I36" s="115" t="s">
        <v>50</v>
      </c>
      <c r="J36" s="118" t="s">
        <v>54</v>
      </c>
      <c r="K36" s="180">
        <f>1248-100-80+75</f>
        <v>1143</v>
      </c>
      <c r="L36" s="181">
        <v>1298</v>
      </c>
      <c r="M36" s="181">
        <v>1337</v>
      </c>
      <c r="N36" s="1">
        <f>-100-80</f>
        <v>-180</v>
      </c>
      <c r="O36" s="1">
        <v>75</v>
      </c>
    </row>
    <row r="37" spans="1:13" ht="60" customHeight="1" hidden="1">
      <c r="A37" s="113"/>
      <c r="B37" s="114" t="s">
        <v>299</v>
      </c>
      <c r="C37" s="118" t="s">
        <v>53</v>
      </c>
      <c r="D37" s="118" t="s">
        <v>48</v>
      </c>
      <c r="E37" s="118" t="s">
        <v>61</v>
      </c>
      <c r="F37" s="118" t="s">
        <v>61</v>
      </c>
      <c r="G37" s="115" t="s">
        <v>125</v>
      </c>
      <c r="H37" s="118" t="s">
        <v>14</v>
      </c>
      <c r="I37" s="115" t="s">
        <v>50</v>
      </c>
      <c r="J37" s="118" t="s">
        <v>54</v>
      </c>
      <c r="K37" s="180">
        <v>0</v>
      </c>
      <c r="L37" s="181">
        <v>0</v>
      </c>
      <c r="M37" s="181">
        <v>0</v>
      </c>
    </row>
    <row r="38" spans="1:14" ht="39" customHeight="1">
      <c r="A38" s="119">
        <v>5</v>
      </c>
      <c r="B38" s="120" t="s">
        <v>300</v>
      </c>
      <c r="C38" s="121" t="s">
        <v>22</v>
      </c>
      <c r="D38" s="121" t="s">
        <v>48</v>
      </c>
      <c r="E38" s="102" t="s">
        <v>10</v>
      </c>
      <c r="F38" s="102" t="s">
        <v>11</v>
      </c>
      <c r="G38" s="102" t="s">
        <v>301</v>
      </c>
      <c r="H38" s="122">
        <v>10</v>
      </c>
      <c r="I38" s="102" t="s">
        <v>50</v>
      </c>
      <c r="J38" s="102" t="s">
        <v>67</v>
      </c>
      <c r="K38" s="183">
        <f>94.37-30.88+1.27-1.44</f>
        <v>63.32000000000001</v>
      </c>
      <c r="L38" s="184">
        <v>94.37</v>
      </c>
      <c r="M38" s="184">
        <v>94.37</v>
      </c>
      <c r="N38" s="1">
        <v>-1.43</v>
      </c>
    </row>
    <row r="39" spans="1:14" ht="78" customHeight="1">
      <c r="A39" s="119"/>
      <c r="B39" s="175" t="s">
        <v>369</v>
      </c>
      <c r="C39" s="121" t="s">
        <v>22</v>
      </c>
      <c r="D39" s="121" t="s">
        <v>48</v>
      </c>
      <c r="E39" s="102" t="s">
        <v>10</v>
      </c>
      <c r="F39" s="102" t="s">
        <v>13</v>
      </c>
      <c r="G39" s="102" t="s">
        <v>370</v>
      </c>
      <c r="H39" s="122">
        <v>10</v>
      </c>
      <c r="I39" s="102" t="s">
        <v>50</v>
      </c>
      <c r="J39" s="102" t="s">
        <v>67</v>
      </c>
      <c r="K39" s="183">
        <v>3.28</v>
      </c>
      <c r="L39" s="184"/>
      <c r="M39" s="184"/>
      <c r="N39" s="1">
        <v>3.28</v>
      </c>
    </row>
    <row r="40" spans="1:14" ht="47.25" customHeight="1">
      <c r="A40" s="119">
        <v>6</v>
      </c>
      <c r="B40" s="175" t="s">
        <v>337</v>
      </c>
      <c r="C40" s="121" t="s">
        <v>22</v>
      </c>
      <c r="D40" s="121" t="s">
        <v>48</v>
      </c>
      <c r="E40" s="102" t="s">
        <v>129</v>
      </c>
      <c r="F40" s="102" t="s">
        <v>12</v>
      </c>
      <c r="G40" s="102" t="s">
        <v>336</v>
      </c>
      <c r="H40" s="122">
        <v>10</v>
      </c>
      <c r="I40" s="102" t="s">
        <v>50</v>
      </c>
      <c r="J40" s="102" t="s">
        <v>178</v>
      </c>
      <c r="K40" s="183">
        <f>48.01+2.51</f>
        <v>50.519999999999996</v>
      </c>
      <c r="L40" s="184">
        <v>0</v>
      </c>
      <c r="M40" s="184">
        <v>0</v>
      </c>
      <c r="N40" s="1">
        <v>2.51</v>
      </c>
    </row>
    <row r="41" spans="1:13" ht="27" customHeight="1" hidden="1">
      <c r="A41" s="167"/>
      <c r="B41" s="168" t="s">
        <v>176</v>
      </c>
      <c r="C41" s="107" t="s">
        <v>22</v>
      </c>
      <c r="D41" s="169" t="s">
        <v>48</v>
      </c>
      <c r="E41" s="107" t="s">
        <v>129</v>
      </c>
      <c r="F41" s="107" t="s">
        <v>12</v>
      </c>
      <c r="G41" s="107" t="s">
        <v>177</v>
      </c>
      <c r="H41" s="170">
        <v>10</v>
      </c>
      <c r="I41" s="107" t="s">
        <v>50</v>
      </c>
      <c r="J41" s="107" t="s">
        <v>178</v>
      </c>
      <c r="K41" s="184">
        <v>0</v>
      </c>
      <c r="L41" s="184">
        <v>0</v>
      </c>
      <c r="M41" s="184">
        <v>0</v>
      </c>
    </row>
    <row r="42" spans="1:13" ht="27" customHeight="1">
      <c r="A42" s="167">
        <v>8</v>
      </c>
      <c r="B42" s="168" t="s">
        <v>176</v>
      </c>
      <c r="C42" s="107" t="s">
        <v>22</v>
      </c>
      <c r="D42" s="169" t="s">
        <v>48</v>
      </c>
      <c r="E42" s="107" t="s">
        <v>348</v>
      </c>
      <c r="F42" s="107" t="s">
        <v>6</v>
      </c>
      <c r="G42" s="107" t="s">
        <v>179</v>
      </c>
      <c r="H42" s="170">
        <v>10</v>
      </c>
      <c r="I42" s="107" t="s">
        <v>50</v>
      </c>
      <c r="J42" s="107" t="s">
        <v>349</v>
      </c>
      <c r="K42" s="184">
        <v>705.6</v>
      </c>
      <c r="L42" s="184">
        <v>0</v>
      </c>
      <c r="M42" s="184">
        <v>0</v>
      </c>
    </row>
    <row r="43" spans="1:13" ht="25.5" customHeight="1">
      <c r="A43" s="167">
        <v>9</v>
      </c>
      <c r="B43" s="171" t="s">
        <v>166</v>
      </c>
      <c r="C43" s="169" t="s">
        <v>22</v>
      </c>
      <c r="D43" s="107" t="s">
        <v>48</v>
      </c>
      <c r="E43" s="107" t="s">
        <v>180</v>
      </c>
      <c r="F43" s="107" t="s">
        <v>6</v>
      </c>
      <c r="G43" s="107" t="s">
        <v>179</v>
      </c>
      <c r="H43" s="107" t="s">
        <v>14</v>
      </c>
      <c r="I43" s="107" t="s">
        <v>50</v>
      </c>
      <c r="J43" s="107" t="s">
        <v>161</v>
      </c>
      <c r="K43" s="184">
        <v>0</v>
      </c>
      <c r="L43" s="184">
        <v>0</v>
      </c>
      <c r="M43" s="184">
        <v>0</v>
      </c>
    </row>
    <row r="44" spans="1:13" ht="24" customHeight="1">
      <c r="A44" s="123" t="s">
        <v>68</v>
      </c>
      <c r="B44" s="124" t="s">
        <v>69</v>
      </c>
      <c r="C44" s="125" t="s">
        <v>22</v>
      </c>
      <c r="D44" s="125" t="s">
        <v>70</v>
      </c>
      <c r="E44" s="125" t="s">
        <v>49</v>
      </c>
      <c r="F44" s="125" t="s">
        <v>49</v>
      </c>
      <c r="G44" s="125" t="s">
        <v>47</v>
      </c>
      <c r="H44" s="125" t="s">
        <v>49</v>
      </c>
      <c r="I44" s="125" t="s">
        <v>50</v>
      </c>
      <c r="J44" s="125" t="s">
        <v>47</v>
      </c>
      <c r="K44" s="185">
        <f>SUM(K45:K53)</f>
        <v>9719.501999999999</v>
      </c>
      <c r="L44" s="185">
        <f>SUM(L45:L53)</f>
        <v>5069.79</v>
      </c>
      <c r="M44" s="185">
        <f>SUM(M45:M53)</f>
        <v>2378.9</v>
      </c>
    </row>
    <row r="45" spans="1:13" ht="42.75" customHeight="1">
      <c r="A45" s="113" t="s">
        <v>51</v>
      </c>
      <c r="B45" s="126" t="s">
        <v>286</v>
      </c>
      <c r="C45" s="127" t="s">
        <v>22</v>
      </c>
      <c r="D45" s="127" t="s">
        <v>70</v>
      </c>
      <c r="E45" s="127" t="s">
        <v>12</v>
      </c>
      <c r="F45" s="127" t="s">
        <v>156</v>
      </c>
      <c r="G45" s="127" t="s">
        <v>66</v>
      </c>
      <c r="H45" s="127" t="s">
        <v>14</v>
      </c>
      <c r="I45" s="127" t="s">
        <v>50</v>
      </c>
      <c r="J45" s="127" t="s">
        <v>187</v>
      </c>
      <c r="K45" s="186">
        <v>1900.3</v>
      </c>
      <c r="L45" s="187">
        <v>1900.3</v>
      </c>
      <c r="M45" s="187">
        <v>1900.3</v>
      </c>
    </row>
    <row r="46" spans="1:14" ht="50.25" customHeight="1">
      <c r="A46" s="113" t="s">
        <v>59</v>
      </c>
      <c r="B46" s="126" t="s">
        <v>310</v>
      </c>
      <c r="C46" s="127" t="s">
        <v>22</v>
      </c>
      <c r="D46" s="127" t="s">
        <v>70</v>
      </c>
      <c r="E46" s="127" t="s">
        <v>12</v>
      </c>
      <c r="F46" s="127" t="s">
        <v>158</v>
      </c>
      <c r="G46" s="127" t="s">
        <v>159</v>
      </c>
      <c r="H46" s="127" t="s">
        <v>14</v>
      </c>
      <c r="I46" s="127" t="s">
        <v>50</v>
      </c>
      <c r="J46" s="127" t="s">
        <v>187</v>
      </c>
      <c r="K46" s="188">
        <f>442.3+20.8</f>
        <v>463.1</v>
      </c>
      <c r="L46" s="187">
        <v>459.1</v>
      </c>
      <c r="M46" s="187">
        <v>476.6</v>
      </c>
      <c r="N46" s="1">
        <v>20.8</v>
      </c>
    </row>
    <row r="47" spans="1:13" ht="31.5" customHeight="1">
      <c r="A47" s="103" t="s">
        <v>60</v>
      </c>
      <c r="B47" s="126" t="s">
        <v>127</v>
      </c>
      <c r="C47" s="95" t="s">
        <v>22</v>
      </c>
      <c r="D47" s="95" t="s">
        <v>70</v>
      </c>
      <c r="E47" s="95" t="s">
        <v>12</v>
      </c>
      <c r="F47" s="95" t="s">
        <v>157</v>
      </c>
      <c r="G47" s="95" t="s">
        <v>71</v>
      </c>
      <c r="H47" s="95" t="s">
        <v>14</v>
      </c>
      <c r="I47" s="95" t="s">
        <v>50</v>
      </c>
      <c r="J47" s="95" t="s">
        <v>187</v>
      </c>
      <c r="K47" s="189">
        <v>2</v>
      </c>
      <c r="L47" s="190">
        <v>2</v>
      </c>
      <c r="M47" s="190">
        <v>2</v>
      </c>
    </row>
    <row r="48" spans="1:13" ht="31.5">
      <c r="A48" s="113">
        <v>4</v>
      </c>
      <c r="B48" s="126" t="s">
        <v>309</v>
      </c>
      <c r="C48" s="127" t="s">
        <v>22</v>
      </c>
      <c r="D48" s="127" t="s">
        <v>70</v>
      </c>
      <c r="E48" s="127" t="s">
        <v>12</v>
      </c>
      <c r="F48" s="127" t="s">
        <v>150</v>
      </c>
      <c r="G48" s="127" t="s">
        <v>151</v>
      </c>
      <c r="H48" s="127" t="s">
        <v>14</v>
      </c>
      <c r="I48" s="127" t="s">
        <v>50</v>
      </c>
      <c r="J48" s="127" t="s">
        <v>187</v>
      </c>
      <c r="K48" s="188">
        <f>339.53-4.14</f>
        <v>335.39</v>
      </c>
      <c r="L48" s="187">
        <v>326.47</v>
      </c>
      <c r="M48" s="187">
        <v>0</v>
      </c>
    </row>
    <row r="49" spans="1:15" ht="42">
      <c r="A49" s="113">
        <v>5</v>
      </c>
      <c r="B49" s="126" t="s">
        <v>255</v>
      </c>
      <c r="C49" s="127" t="s">
        <v>22</v>
      </c>
      <c r="D49" s="127" t="s">
        <v>70</v>
      </c>
      <c r="E49" s="127" t="s">
        <v>12</v>
      </c>
      <c r="F49" s="127" t="s">
        <v>150</v>
      </c>
      <c r="G49" s="127" t="s">
        <v>256</v>
      </c>
      <c r="H49" s="127" t="s">
        <v>14</v>
      </c>
      <c r="I49" s="127" t="s">
        <v>50</v>
      </c>
      <c r="J49" s="127" t="s">
        <v>187</v>
      </c>
      <c r="K49" s="188">
        <f>1846.54-322.36</f>
        <v>1524.1799999999998</v>
      </c>
      <c r="L49" s="187">
        <v>0</v>
      </c>
      <c r="M49" s="187">
        <v>0</v>
      </c>
      <c r="N49" s="1">
        <v>-322.36</v>
      </c>
      <c r="O49" s="1" t="s">
        <v>359</v>
      </c>
    </row>
    <row r="50" spans="1:13" ht="52.5">
      <c r="A50" s="113">
        <v>6</v>
      </c>
      <c r="B50" s="33" t="s">
        <v>325</v>
      </c>
      <c r="C50" s="127" t="s">
        <v>22</v>
      </c>
      <c r="D50" s="127" t="s">
        <v>70</v>
      </c>
      <c r="E50" s="127" t="s">
        <v>12</v>
      </c>
      <c r="F50" s="127" t="s">
        <v>150</v>
      </c>
      <c r="G50" s="127" t="s">
        <v>324</v>
      </c>
      <c r="H50" s="127" t="s">
        <v>14</v>
      </c>
      <c r="I50" s="127" t="s">
        <v>50</v>
      </c>
      <c r="J50" s="127" t="s">
        <v>187</v>
      </c>
      <c r="K50" s="188">
        <v>0</v>
      </c>
      <c r="L50" s="187">
        <v>2381.92</v>
      </c>
      <c r="M50" s="187">
        <v>0</v>
      </c>
    </row>
    <row r="51" spans="1:15" ht="21">
      <c r="A51" s="113">
        <v>7</v>
      </c>
      <c r="B51" s="33" t="s">
        <v>351</v>
      </c>
      <c r="C51" s="127" t="s">
        <v>22</v>
      </c>
      <c r="D51" s="127" t="s">
        <v>70</v>
      </c>
      <c r="E51" s="127" t="s">
        <v>12</v>
      </c>
      <c r="F51" s="127" t="s">
        <v>350</v>
      </c>
      <c r="G51" s="127" t="s">
        <v>126</v>
      </c>
      <c r="H51" s="127" t="s">
        <v>14</v>
      </c>
      <c r="I51" s="127" t="s">
        <v>50</v>
      </c>
      <c r="J51" s="127" t="s">
        <v>187</v>
      </c>
      <c r="K51" s="188">
        <v>1909.21</v>
      </c>
      <c r="L51" s="187">
        <v>0</v>
      </c>
      <c r="M51" s="187">
        <v>0</v>
      </c>
      <c r="O51" s="1" t="s">
        <v>358</v>
      </c>
    </row>
    <row r="52" spans="1:14" ht="21">
      <c r="A52" s="113">
        <v>7</v>
      </c>
      <c r="B52" s="33" t="s">
        <v>167</v>
      </c>
      <c r="C52" s="127" t="s">
        <v>22</v>
      </c>
      <c r="D52" s="127" t="s">
        <v>70</v>
      </c>
      <c r="E52" s="127" t="s">
        <v>12</v>
      </c>
      <c r="F52" s="127" t="s">
        <v>257</v>
      </c>
      <c r="G52" s="127" t="s">
        <v>126</v>
      </c>
      <c r="H52" s="127" t="s">
        <v>14</v>
      </c>
      <c r="I52" s="127" t="s">
        <v>50</v>
      </c>
      <c r="J52" s="127" t="s">
        <v>187</v>
      </c>
      <c r="K52" s="188">
        <f>132.415+1909.21-1909.21+8+39.675+32.4+255+47.691+59.22</f>
        <v>574.4010000000001</v>
      </c>
      <c r="L52" s="187">
        <v>0</v>
      </c>
      <c r="M52" s="187">
        <v>0</v>
      </c>
      <c r="N52" s="1">
        <f>39.675+32.4+255+47.691+59.22</f>
        <v>433.986</v>
      </c>
    </row>
    <row r="53" spans="1:14" ht="21">
      <c r="A53" s="128">
        <v>8</v>
      </c>
      <c r="B53" s="34" t="s">
        <v>160</v>
      </c>
      <c r="C53" s="127" t="s">
        <v>22</v>
      </c>
      <c r="D53" s="127" t="s">
        <v>70</v>
      </c>
      <c r="E53" s="127" t="s">
        <v>141</v>
      </c>
      <c r="F53" s="127" t="s">
        <v>11</v>
      </c>
      <c r="G53" s="127" t="s">
        <v>58</v>
      </c>
      <c r="H53" s="127" t="s">
        <v>14</v>
      </c>
      <c r="I53" s="127" t="s">
        <v>50</v>
      </c>
      <c r="J53" s="127" t="s">
        <v>187</v>
      </c>
      <c r="K53" s="189">
        <f>1200+300+120+150+30+100+1000+60.921+50</f>
        <v>3010.921</v>
      </c>
      <c r="L53" s="190">
        <v>0</v>
      </c>
      <c r="M53" s="190">
        <v>0</v>
      </c>
      <c r="N53" s="146">
        <f>60.921+50</f>
        <v>110.92099999999999</v>
      </c>
    </row>
    <row r="54" spans="1:14" ht="20.25" customHeight="1">
      <c r="A54" s="129"/>
      <c r="B54" s="130" t="s">
        <v>72</v>
      </c>
      <c r="C54" s="131"/>
      <c r="D54" s="131"/>
      <c r="E54" s="131"/>
      <c r="F54" s="131"/>
      <c r="G54" s="131"/>
      <c r="H54" s="131"/>
      <c r="I54" s="131"/>
      <c r="J54" s="131"/>
      <c r="K54" s="189">
        <f>K9+K44</f>
        <v>19465.192</v>
      </c>
      <c r="L54" s="189">
        <f>L9+L44</f>
        <v>13122.58</v>
      </c>
      <c r="M54" s="189">
        <f>M9+M44</f>
        <v>10741.07</v>
      </c>
      <c r="N54" s="1">
        <f>SUM(N7:N53)</f>
        <v>-894.5430000000003</v>
      </c>
    </row>
  </sheetData>
  <sheetProtection/>
  <mergeCells count="7">
    <mergeCell ref="I1:M1"/>
    <mergeCell ref="A4:M4"/>
    <mergeCell ref="A3:M3"/>
    <mergeCell ref="A6:A7"/>
    <mergeCell ref="B6:B7"/>
    <mergeCell ref="C6:J6"/>
    <mergeCell ref="I2:M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67">
      <selection activeCell="M80" sqref="M80"/>
    </sheetView>
  </sheetViews>
  <sheetFormatPr defaultColWidth="9.00390625" defaultRowHeight="12.75"/>
  <cols>
    <col min="1" max="1" width="3.125" style="5" customWidth="1"/>
    <col min="2" max="2" width="34.375" style="6" customWidth="1"/>
    <col min="3" max="3" width="4.00390625" style="6" customWidth="1"/>
    <col min="4" max="4" width="3.125" style="6" customWidth="1"/>
    <col min="5" max="5" width="3.875" style="6" customWidth="1"/>
    <col min="6" max="6" width="11.625" style="147" customWidth="1"/>
    <col min="7" max="7" width="3.625" style="6" customWidth="1"/>
    <col min="8" max="8" width="11.875" style="30" customWidth="1"/>
    <col min="9" max="9" width="12.125" style="5" customWidth="1"/>
    <col min="10" max="10" width="11.875" style="5" customWidth="1"/>
    <col min="11" max="11" width="7.875" style="5" customWidth="1"/>
    <col min="12" max="16384" width="9.125" style="5" customWidth="1"/>
  </cols>
  <sheetData>
    <row r="1" spans="6:10" ht="12.75">
      <c r="F1" s="231" t="s">
        <v>314</v>
      </c>
      <c r="G1" s="232"/>
      <c r="H1" s="232"/>
      <c r="I1" s="232"/>
      <c r="J1" s="232"/>
    </row>
    <row r="2" spans="2:10" ht="56.25" customHeight="1">
      <c r="B2" s="5"/>
      <c r="C2" s="158"/>
      <c r="D2" s="158"/>
      <c r="E2" s="158"/>
      <c r="F2" s="229" t="str">
        <f>'пр.1 доходы'!I2</f>
        <v> к Решению Совета Кааламского сельского поселения № 21 от 22.12.2023г . "О внесении изменений в Решение Совета Кааламского сельского поселения от 24 декабря 2022 г. № 137 «О бюджете Кааламского сельского поселения на 2023 год и на плановый период 2024-2025 годы»     </v>
      </c>
      <c r="G2" s="230"/>
      <c r="H2" s="230"/>
      <c r="I2" s="230"/>
      <c r="J2" s="230"/>
    </row>
    <row r="3" spans="1:8" ht="14.25" customHeight="1">
      <c r="A3" s="227" t="s">
        <v>192</v>
      </c>
      <c r="B3" s="228"/>
      <c r="C3" s="228"/>
      <c r="D3" s="228"/>
      <c r="E3" s="228"/>
      <c r="F3" s="228"/>
      <c r="G3" s="228"/>
      <c r="H3" s="31"/>
    </row>
    <row r="4" spans="1:8" ht="14.25" customHeight="1">
      <c r="A4" s="227" t="str">
        <f>'пр.1 доходы'!A4:M4</f>
        <v>на 2023 год и на плановый период 2024-2025 годы</v>
      </c>
      <c r="B4" s="228"/>
      <c r="C4" s="228"/>
      <c r="D4" s="228"/>
      <c r="E4" s="228"/>
      <c r="F4" s="228"/>
      <c r="G4" s="228"/>
      <c r="H4" s="29"/>
    </row>
    <row r="5" ht="9.75" customHeight="1">
      <c r="J5" s="5" t="s">
        <v>163</v>
      </c>
    </row>
    <row r="6" spans="1:10" ht="45.75" customHeight="1">
      <c r="A6" s="8" t="s">
        <v>20</v>
      </c>
      <c r="B6" s="9" t="s">
        <v>15</v>
      </c>
      <c r="C6" s="9" t="s">
        <v>84</v>
      </c>
      <c r="D6" s="159" t="s">
        <v>2</v>
      </c>
      <c r="E6" s="159" t="s">
        <v>3</v>
      </c>
      <c r="F6" s="160" t="s">
        <v>4</v>
      </c>
      <c r="G6" s="161" t="s">
        <v>0</v>
      </c>
      <c r="H6" s="21" t="s">
        <v>219</v>
      </c>
      <c r="I6" s="21" t="s">
        <v>303</v>
      </c>
      <c r="J6" s="21" t="s">
        <v>331</v>
      </c>
    </row>
    <row r="7" spans="1:10" ht="24.75" customHeight="1">
      <c r="A7" s="82"/>
      <c r="B7" s="25" t="s">
        <v>21</v>
      </c>
      <c r="C7" s="49" t="s">
        <v>22</v>
      </c>
      <c r="D7" s="16"/>
      <c r="E7" s="16"/>
      <c r="F7" s="148"/>
      <c r="G7" s="17"/>
      <c r="H7" s="191">
        <f>H8+H50+H59+H65+H71+H86+H91+H97+H102</f>
        <v>19412.029</v>
      </c>
      <c r="I7" s="191">
        <f>I8+I50+I59+I65+I71+I86+I91+I97+I102</f>
        <v>12772.580000000002</v>
      </c>
      <c r="J7" s="191">
        <f>J8+J50+J59+J65+J71+J86+J91+J97+J102</f>
        <v>10131.070000000002</v>
      </c>
    </row>
    <row r="8" spans="1:10" ht="32.25" customHeight="1">
      <c r="A8" s="70">
        <v>1</v>
      </c>
      <c r="B8" s="71" t="s">
        <v>5</v>
      </c>
      <c r="C8" s="72" t="s">
        <v>22</v>
      </c>
      <c r="D8" s="73" t="s">
        <v>6</v>
      </c>
      <c r="E8" s="73"/>
      <c r="F8" s="152"/>
      <c r="G8" s="156"/>
      <c r="H8" s="192">
        <f>H9+H16+H28+H36+H40+H33</f>
        <v>6996.37</v>
      </c>
      <c r="I8" s="192">
        <f>I9+I16+I28+I36+I40+I33</f>
        <v>4981.700000000001</v>
      </c>
      <c r="J8" s="192">
        <f>J9+J16+J28+J36+J40+J33</f>
        <v>4981.700000000001</v>
      </c>
    </row>
    <row r="9" spans="1:10" ht="44.25" customHeight="1">
      <c r="A9" s="3" t="s">
        <v>32</v>
      </c>
      <c r="B9" s="56" t="s">
        <v>172</v>
      </c>
      <c r="C9" s="49" t="s">
        <v>22</v>
      </c>
      <c r="D9" s="68" t="s">
        <v>6</v>
      </c>
      <c r="E9" s="68" t="s">
        <v>12</v>
      </c>
      <c r="F9" s="149"/>
      <c r="G9" s="17"/>
      <c r="H9" s="193">
        <f>H12+H13+H14+H15</f>
        <v>1940.21</v>
      </c>
      <c r="I9" s="193">
        <f>I12+I13+I14+I15</f>
        <v>1429.7</v>
      </c>
      <c r="J9" s="193">
        <f>J12+J13+J14+J15</f>
        <v>1429.7</v>
      </c>
    </row>
    <row r="10" spans="1:10" ht="23.25" customHeight="1">
      <c r="A10" s="2"/>
      <c r="B10" s="25" t="s">
        <v>203</v>
      </c>
      <c r="C10" s="50" t="s">
        <v>22</v>
      </c>
      <c r="D10" s="16" t="s">
        <v>6</v>
      </c>
      <c r="E10" s="16" t="s">
        <v>12</v>
      </c>
      <c r="F10" s="149" t="s">
        <v>12</v>
      </c>
      <c r="G10" s="17"/>
      <c r="H10" s="194">
        <f>H11</f>
        <v>1940.21</v>
      </c>
      <c r="I10" s="194">
        <f>I11</f>
        <v>1429.7</v>
      </c>
      <c r="J10" s="194">
        <f>J11</f>
        <v>1429.7</v>
      </c>
    </row>
    <row r="11" spans="1:10" ht="29.25" customHeight="1">
      <c r="A11" s="2"/>
      <c r="B11" s="162" t="s">
        <v>205</v>
      </c>
      <c r="C11" s="50" t="s">
        <v>22</v>
      </c>
      <c r="D11" s="16" t="s">
        <v>6</v>
      </c>
      <c r="E11" s="16" t="s">
        <v>12</v>
      </c>
      <c r="F11" s="149" t="s">
        <v>230</v>
      </c>
      <c r="G11" s="17"/>
      <c r="H11" s="194">
        <f>H12+H13+H14+H15</f>
        <v>1940.21</v>
      </c>
      <c r="I11" s="194">
        <f>I12+I13+I14+I15</f>
        <v>1429.7</v>
      </c>
      <c r="J11" s="194">
        <f>J12+J13+J14+J15</f>
        <v>1429.7</v>
      </c>
    </row>
    <row r="12" spans="1:11" ht="41.25" customHeight="1">
      <c r="A12" s="2"/>
      <c r="B12" s="25" t="s">
        <v>279</v>
      </c>
      <c r="C12" s="50" t="s">
        <v>22</v>
      </c>
      <c r="D12" s="16" t="s">
        <v>6</v>
      </c>
      <c r="E12" s="16" t="s">
        <v>12</v>
      </c>
      <c r="F12" s="149" t="s">
        <v>231</v>
      </c>
      <c r="G12" s="17" t="s">
        <v>23</v>
      </c>
      <c r="H12" s="194">
        <f>1099+395.75-8.99</f>
        <v>1485.76</v>
      </c>
      <c r="I12" s="195">
        <v>1099</v>
      </c>
      <c r="J12" s="195">
        <v>1099</v>
      </c>
      <c r="K12" s="5">
        <f>395.75-8.99</f>
        <v>386.76</v>
      </c>
    </row>
    <row r="13" spans="1:11" ht="78" customHeight="1">
      <c r="A13" s="2"/>
      <c r="B13" s="25" t="s">
        <v>280</v>
      </c>
      <c r="C13" s="50" t="s">
        <v>22</v>
      </c>
      <c r="D13" s="16" t="s">
        <v>6</v>
      </c>
      <c r="E13" s="16" t="s">
        <v>12</v>
      </c>
      <c r="F13" s="149" t="s">
        <v>231</v>
      </c>
      <c r="G13" s="17" t="s">
        <v>140</v>
      </c>
      <c r="H13" s="194">
        <f>330.7+114.55-2.72</f>
        <v>442.53</v>
      </c>
      <c r="I13" s="195">
        <v>330.7</v>
      </c>
      <c r="J13" s="195">
        <v>330.7</v>
      </c>
      <c r="K13" s="5">
        <f>114.55-2.72</f>
        <v>111.83</v>
      </c>
    </row>
    <row r="14" spans="1:11" ht="55.5" customHeight="1">
      <c r="A14" s="2"/>
      <c r="B14" s="25" t="s">
        <v>362</v>
      </c>
      <c r="C14" s="50" t="s">
        <v>22</v>
      </c>
      <c r="D14" s="16" t="s">
        <v>6</v>
      </c>
      <c r="E14" s="16" t="s">
        <v>12</v>
      </c>
      <c r="F14" s="149" t="s">
        <v>360</v>
      </c>
      <c r="G14" s="17" t="s">
        <v>23</v>
      </c>
      <c r="H14" s="194">
        <v>9.16</v>
      </c>
      <c r="I14" s="195"/>
      <c r="J14" s="195"/>
      <c r="K14" s="5">
        <v>9.16</v>
      </c>
    </row>
    <row r="15" spans="1:11" ht="89.25" customHeight="1">
      <c r="A15" s="2"/>
      <c r="B15" s="25" t="s">
        <v>363</v>
      </c>
      <c r="C15" s="50" t="s">
        <v>22</v>
      </c>
      <c r="D15" s="16" t="s">
        <v>6</v>
      </c>
      <c r="E15" s="16" t="s">
        <v>12</v>
      </c>
      <c r="F15" s="149" t="s">
        <v>361</v>
      </c>
      <c r="G15" s="17" t="s">
        <v>140</v>
      </c>
      <c r="H15" s="194">
        <v>2.76</v>
      </c>
      <c r="I15" s="195"/>
      <c r="J15" s="195"/>
      <c r="K15" s="5">
        <v>2.76</v>
      </c>
    </row>
    <row r="16" spans="1:10" ht="59.25" customHeight="1">
      <c r="A16" s="3" t="s">
        <v>57</v>
      </c>
      <c r="B16" s="56" t="s">
        <v>173</v>
      </c>
      <c r="C16" s="49" t="s">
        <v>22</v>
      </c>
      <c r="D16" s="68" t="s">
        <v>6</v>
      </c>
      <c r="E16" s="68" t="s">
        <v>7</v>
      </c>
      <c r="F16" s="149"/>
      <c r="G16" s="17"/>
      <c r="H16" s="193">
        <f>H17</f>
        <v>2240.41</v>
      </c>
      <c r="I16" s="193">
        <f>I17</f>
        <v>2132.6</v>
      </c>
      <c r="J16" s="193">
        <f>J17</f>
        <v>2132.6</v>
      </c>
    </row>
    <row r="17" spans="1:10" ht="21.75" customHeight="1">
      <c r="A17" s="3"/>
      <c r="B17" s="163" t="s">
        <v>203</v>
      </c>
      <c r="C17" s="49" t="s">
        <v>22</v>
      </c>
      <c r="D17" s="150" t="s">
        <v>6</v>
      </c>
      <c r="E17" s="150" t="s">
        <v>7</v>
      </c>
      <c r="F17" s="149" t="s">
        <v>12</v>
      </c>
      <c r="G17" s="17"/>
      <c r="H17" s="196">
        <f>H20+H21+H22+H23+H24+H25+H26+H27</f>
        <v>2240.41</v>
      </c>
      <c r="I17" s="196">
        <f>I20+I21+I22+I23+I24+I25+I26+I27</f>
        <v>2132.6</v>
      </c>
      <c r="J17" s="196">
        <f>J20+J21+J22+J23+J24+J25+J26+J27</f>
        <v>2132.6</v>
      </c>
    </row>
    <row r="18" spans="1:10" ht="30" customHeight="1">
      <c r="A18" s="3"/>
      <c r="B18" s="162" t="s">
        <v>205</v>
      </c>
      <c r="C18" s="50" t="s">
        <v>22</v>
      </c>
      <c r="D18" s="16" t="s">
        <v>6</v>
      </c>
      <c r="E18" s="16" t="s">
        <v>7</v>
      </c>
      <c r="F18" s="149" t="s">
        <v>230</v>
      </c>
      <c r="G18" s="17"/>
      <c r="H18" s="196">
        <f>H20+H21+H22+H23+H24+H25+H26+H27</f>
        <v>2240.41</v>
      </c>
      <c r="I18" s="196">
        <f>I20+I21+I22+I23+I24+I25+I26+I27</f>
        <v>2132.6</v>
      </c>
      <c r="J18" s="196">
        <f>J20+J21+J22+J23+J24+J25+J26+J27</f>
        <v>2132.6</v>
      </c>
    </row>
    <row r="19" spans="1:10" ht="38.25" customHeight="1">
      <c r="A19" s="2"/>
      <c r="B19" s="25" t="s">
        <v>259</v>
      </c>
      <c r="C19" s="50" t="s">
        <v>22</v>
      </c>
      <c r="D19" s="16" t="s">
        <v>6</v>
      </c>
      <c r="E19" s="16" t="s">
        <v>7</v>
      </c>
      <c r="F19" s="149" t="s">
        <v>232</v>
      </c>
      <c r="G19" s="17"/>
      <c r="H19" s="194">
        <f>H20+H21+H22+H23+H24</f>
        <v>2202.64</v>
      </c>
      <c r="I19" s="194">
        <f>I20+I21+I22+I23+I24</f>
        <v>2130.6</v>
      </c>
      <c r="J19" s="194">
        <f>J20+J21+J22+J23+J24</f>
        <v>2130.6</v>
      </c>
    </row>
    <row r="20" spans="1:11" ht="66" customHeight="1">
      <c r="A20" s="2"/>
      <c r="B20" s="25" t="s">
        <v>260</v>
      </c>
      <c r="C20" s="49" t="s">
        <v>22</v>
      </c>
      <c r="D20" s="16" t="s">
        <v>6</v>
      </c>
      <c r="E20" s="16" t="s">
        <v>7</v>
      </c>
      <c r="F20" s="149" t="s">
        <v>232</v>
      </c>
      <c r="G20" s="17" t="s">
        <v>23</v>
      </c>
      <c r="H20" s="194">
        <f>1492.5+79.25-47.39</f>
        <v>1524.36</v>
      </c>
      <c r="I20" s="195">
        <v>1492.5</v>
      </c>
      <c r="J20" s="195">
        <v>1492.5</v>
      </c>
      <c r="K20" s="5">
        <v>-47.39</v>
      </c>
    </row>
    <row r="21" spans="1:11" ht="62.25" customHeight="1">
      <c r="A21" s="2"/>
      <c r="B21" s="25" t="s">
        <v>264</v>
      </c>
      <c r="C21" s="50" t="s">
        <v>22</v>
      </c>
      <c r="D21" s="16" t="s">
        <v>6</v>
      </c>
      <c r="E21" s="16" t="s">
        <v>7</v>
      </c>
      <c r="F21" s="149" t="s">
        <v>232</v>
      </c>
      <c r="G21" s="17" t="s">
        <v>24</v>
      </c>
      <c r="H21" s="194">
        <f>18+8-0.65-1+31.27</f>
        <v>55.620000000000005</v>
      </c>
      <c r="I21" s="195">
        <v>18</v>
      </c>
      <c r="J21" s="195">
        <v>18</v>
      </c>
      <c r="K21" s="5">
        <f>-0.65-1+31.27</f>
        <v>29.62</v>
      </c>
    </row>
    <row r="22" spans="1:11" ht="84.75" customHeight="1">
      <c r="A22" s="2"/>
      <c r="B22" s="25" t="s">
        <v>263</v>
      </c>
      <c r="C22" s="50" t="s">
        <v>22</v>
      </c>
      <c r="D22" s="16" t="s">
        <v>6</v>
      </c>
      <c r="E22" s="16" t="s">
        <v>7</v>
      </c>
      <c r="F22" s="149" t="s">
        <v>232</v>
      </c>
      <c r="G22" s="17" t="s">
        <v>140</v>
      </c>
      <c r="H22" s="194">
        <f>447.1+23.94-17.35</f>
        <v>453.69</v>
      </c>
      <c r="I22" s="195">
        <v>447.1</v>
      </c>
      <c r="J22" s="195">
        <v>447.1</v>
      </c>
      <c r="K22" s="5">
        <v>-17.35</v>
      </c>
    </row>
    <row r="23" spans="1:11" ht="63.75" customHeight="1">
      <c r="A23" s="2"/>
      <c r="B23" s="25" t="s">
        <v>261</v>
      </c>
      <c r="C23" s="50" t="s">
        <v>22</v>
      </c>
      <c r="D23" s="16" t="s">
        <v>6</v>
      </c>
      <c r="E23" s="16" t="s">
        <v>7</v>
      </c>
      <c r="F23" s="149" t="s">
        <v>232</v>
      </c>
      <c r="G23" s="17" t="s">
        <v>25</v>
      </c>
      <c r="H23" s="194">
        <f>152+16</f>
        <v>168</v>
      </c>
      <c r="I23" s="195">
        <v>172</v>
      </c>
      <c r="J23" s="195">
        <v>172</v>
      </c>
      <c r="K23" s="5">
        <v>16</v>
      </c>
    </row>
    <row r="24" spans="1:11" ht="54.75" customHeight="1">
      <c r="A24" s="2"/>
      <c r="B24" s="25" t="s">
        <v>262</v>
      </c>
      <c r="C24" s="50" t="s">
        <v>22</v>
      </c>
      <c r="D24" s="16" t="s">
        <v>6</v>
      </c>
      <c r="E24" s="16" t="s">
        <v>7</v>
      </c>
      <c r="F24" s="149" t="s">
        <v>232</v>
      </c>
      <c r="G24" s="17" t="s">
        <v>142</v>
      </c>
      <c r="H24" s="194">
        <f>1-0.03</f>
        <v>0.97</v>
      </c>
      <c r="I24" s="194">
        <v>1</v>
      </c>
      <c r="J24" s="194">
        <v>1</v>
      </c>
      <c r="K24" s="5">
        <v>-0.03</v>
      </c>
    </row>
    <row r="25" spans="1:10" ht="86.25" customHeight="1">
      <c r="A25" s="2"/>
      <c r="B25" s="25" t="s">
        <v>202</v>
      </c>
      <c r="C25" s="49" t="s">
        <v>22</v>
      </c>
      <c r="D25" s="16" t="s">
        <v>6</v>
      </c>
      <c r="E25" s="16" t="s">
        <v>7</v>
      </c>
      <c r="F25" s="149" t="s">
        <v>233</v>
      </c>
      <c r="G25" s="17" t="s">
        <v>25</v>
      </c>
      <c r="H25" s="194">
        <v>2</v>
      </c>
      <c r="I25" s="197">
        <v>2</v>
      </c>
      <c r="J25" s="197">
        <v>2</v>
      </c>
    </row>
    <row r="26" spans="1:11" ht="62.25" customHeight="1">
      <c r="A26" s="2"/>
      <c r="B26" s="25" t="s">
        <v>364</v>
      </c>
      <c r="C26" s="49" t="s">
        <v>22</v>
      </c>
      <c r="D26" s="16" t="s">
        <v>6</v>
      </c>
      <c r="E26" s="16" t="s">
        <v>7</v>
      </c>
      <c r="F26" s="149" t="s">
        <v>361</v>
      </c>
      <c r="G26" s="17" t="s">
        <v>23</v>
      </c>
      <c r="H26" s="194">
        <v>27.47</v>
      </c>
      <c r="I26" s="195"/>
      <c r="J26" s="195"/>
      <c r="K26" s="5">
        <v>27.47</v>
      </c>
    </row>
    <row r="27" spans="1:11" ht="99" customHeight="1">
      <c r="A27" s="2"/>
      <c r="B27" s="25" t="s">
        <v>365</v>
      </c>
      <c r="C27" s="50" t="s">
        <v>22</v>
      </c>
      <c r="D27" s="16" t="s">
        <v>6</v>
      </c>
      <c r="E27" s="16" t="s">
        <v>7</v>
      </c>
      <c r="F27" s="149" t="s">
        <v>361</v>
      </c>
      <c r="G27" s="17" t="s">
        <v>140</v>
      </c>
      <c r="H27" s="194">
        <v>8.3</v>
      </c>
      <c r="I27" s="195"/>
      <c r="J27" s="195"/>
      <c r="K27" s="5">
        <v>8.3</v>
      </c>
    </row>
    <row r="28" spans="1:10" ht="52.5" customHeight="1">
      <c r="A28" s="3" t="s">
        <v>143</v>
      </c>
      <c r="B28" s="56" t="s">
        <v>174</v>
      </c>
      <c r="C28" s="50" t="s">
        <v>22</v>
      </c>
      <c r="D28" s="68" t="s">
        <v>6</v>
      </c>
      <c r="E28" s="68" t="s">
        <v>61</v>
      </c>
      <c r="F28" s="149"/>
      <c r="G28" s="17"/>
      <c r="H28" s="193">
        <f>H32</f>
        <v>0</v>
      </c>
      <c r="I28" s="193">
        <f>I32</f>
        <v>0</v>
      </c>
      <c r="J28" s="193">
        <f>J32</f>
        <v>0</v>
      </c>
    </row>
    <row r="29" spans="1:10" ht="27.75" customHeight="1">
      <c r="A29" s="3"/>
      <c r="B29" s="163" t="s">
        <v>203</v>
      </c>
      <c r="C29" s="49" t="s">
        <v>22</v>
      </c>
      <c r="D29" s="150" t="s">
        <v>6</v>
      </c>
      <c r="E29" s="150" t="s">
        <v>61</v>
      </c>
      <c r="F29" s="149" t="s">
        <v>12</v>
      </c>
      <c r="G29" s="17"/>
      <c r="H29" s="196">
        <f>H30</f>
        <v>0</v>
      </c>
      <c r="I29" s="196">
        <f aca="true" t="shared" si="0" ref="I29:J31">I30</f>
        <v>0</v>
      </c>
      <c r="J29" s="196">
        <f t="shared" si="0"/>
        <v>0</v>
      </c>
    </row>
    <row r="30" spans="1:10" ht="18.75" customHeight="1">
      <c r="A30" s="3"/>
      <c r="B30" s="162" t="s">
        <v>277</v>
      </c>
      <c r="C30" s="49" t="s">
        <v>22</v>
      </c>
      <c r="D30" s="150" t="s">
        <v>6</v>
      </c>
      <c r="E30" s="150" t="s">
        <v>61</v>
      </c>
      <c r="F30" s="149" t="s">
        <v>275</v>
      </c>
      <c r="G30" s="17"/>
      <c r="H30" s="196">
        <f>H31</f>
        <v>0</v>
      </c>
      <c r="I30" s="196">
        <f t="shared" si="0"/>
        <v>0</v>
      </c>
      <c r="J30" s="196">
        <f t="shared" si="0"/>
        <v>0</v>
      </c>
    </row>
    <row r="31" spans="1:10" ht="50.25" customHeight="1">
      <c r="A31" s="2"/>
      <c r="B31" s="25" t="s">
        <v>206</v>
      </c>
      <c r="C31" s="50" t="s">
        <v>22</v>
      </c>
      <c r="D31" s="16" t="s">
        <v>6</v>
      </c>
      <c r="E31" s="16" t="s">
        <v>61</v>
      </c>
      <c r="F31" s="149" t="s">
        <v>276</v>
      </c>
      <c r="G31" s="17"/>
      <c r="H31" s="194">
        <f>H32</f>
        <v>0</v>
      </c>
      <c r="I31" s="194">
        <f t="shared" si="0"/>
        <v>0</v>
      </c>
      <c r="J31" s="194">
        <f t="shared" si="0"/>
        <v>0</v>
      </c>
    </row>
    <row r="32" spans="1:10" ht="22.5" customHeight="1">
      <c r="A32" s="2"/>
      <c r="B32" s="25" t="s">
        <v>175</v>
      </c>
      <c r="C32" s="50" t="s">
        <v>22</v>
      </c>
      <c r="D32" s="16" t="s">
        <v>6</v>
      </c>
      <c r="E32" s="16" t="s">
        <v>61</v>
      </c>
      <c r="F32" s="149" t="s">
        <v>276</v>
      </c>
      <c r="G32" s="151" t="s">
        <v>119</v>
      </c>
      <c r="H32" s="194">
        <v>0</v>
      </c>
      <c r="I32" s="195">
        <v>0</v>
      </c>
      <c r="J32" s="195">
        <v>0</v>
      </c>
    </row>
    <row r="33" spans="1:10" ht="30.75" customHeight="1">
      <c r="A33" s="2" t="s">
        <v>144</v>
      </c>
      <c r="B33" s="56" t="s">
        <v>338</v>
      </c>
      <c r="C33" s="69" t="s">
        <v>22</v>
      </c>
      <c r="D33" s="209" t="s">
        <v>6</v>
      </c>
      <c r="E33" s="209" t="s">
        <v>141</v>
      </c>
      <c r="F33" s="210"/>
      <c r="G33" s="211"/>
      <c r="H33" s="212">
        <f>H34</f>
        <v>695.7199999999999</v>
      </c>
      <c r="I33" s="213"/>
      <c r="J33" s="213"/>
    </row>
    <row r="34" spans="1:10" ht="22.5" customHeight="1">
      <c r="A34" s="2"/>
      <c r="B34" s="25" t="s">
        <v>339</v>
      </c>
      <c r="C34" s="50" t="s">
        <v>22</v>
      </c>
      <c r="D34" s="16" t="s">
        <v>6</v>
      </c>
      <c r="E34" s="16" t="s">
        <v>141</v>
      </c>
      <c r="F34" s="149" t="s">
        <v>340</v>
      </c>
      <c r="G34" s="151"/>
      <c r="H34" s="194">
        <f>H35</f>
        <v>695.7199999999999</v>
      </c>
      <c r="I34" s="195"/>
      <c r="J34" s="195"/>
    </row>
    <row r="35" spans="1:11" ht="39.75" customHeight="1">
      <c r="A35" s="2"/>
      <c r="B35" s="25" t="s">
        <v>341</v>
      </c>
      <c r="C35" s="50" t="s">
        <v>22</v>
      </c>
      <c r="D35" s="16" t="s">
        <v>6</v>
      </c>
      <c r="E35" s="16" t="s">
        <v>141</v>
      </c>
      <c r="F35" s="149" t="s">
        <v>340</v>
      </c>
      <c r="G35" s="151" t="s">
        <v>354</v>
      </c>
      <c r="H35" s="194">
        <f>410+286.05-0.33</f>
        <v>695.7199999999999</v>
      </c>
      <c r="I35" s="195"/>
      <c r="J35" s="195"/>
      <c r="K35" s="5">
        <v>-0.33</v>
      </c>
    </row>
    <row r="36" spans="1:10" ht="44.25" customHeight="1">
      <c r="A36" s="26" t="s">
        <v>145</v>
      </c>
      <c r="B36" s="56" t="s">
        <v>207</v>
      </c>
      <c r="C36" s="69" t="s">
        <v>22</v>
      </c>
      <c r="D36" s="68" t="s">
        <v>6</v>
      </c>
      <c r="E36" s="68" t="s">
        <v>10</v>
      </c>
      <c r="F36" s="149"/>
      <c r="G36" s="17"/>
      <c r="H36" s="193">
        <f>H39</f>
        <v>30</v>
      </c>
      <c r="I36" s="193">
        <f>I39</f>
        <v>30</v>
      </c>
      <c r="J36" s="193">
        <f>J39</f>
        <v>30</v>
      </c>
    </row>
    <row r="37" spans="1:10" ht="24" customHeight="1">
      <c r="A37" s="3"/>
      <c r="B37" s="163" t="s">
        <v>203</v>
      </c>
      <c r="C37" s="49" t="s">
        <v>22</v>
      </c>
      <c r="D37" s="150" t="s">
        <v>6</v>
      </c>
      <c r="E37" s="150" t="s">
        <v>10</v>
      </c>
      <c r="F37" s="149" t="s">
        <v>12</v>
      </c>
      <c r="G37" s="17"/>
      <c r="H37" s="196">
        <f aca="true" t="shared" si="1" ref="H37:J38">H38</f>
        <v>30</v>
      </c>
      <c r="I37" s="196">
        <f t="shared" si="1"/>
        <v>30</v>
      </c>
      <c r="J37" s="196">
        <f t="shared" si="1"/>
        <v>30</v>
      </c>
    </row>
    <row r="38" spans="1:10" ht="24" customHeight="1">
      <c r="A38" s="3"/>
      <c r="B38" s="162" t="s">
        <v>226</v>
      </c>
      <c r="C38" s="49" t="s">
        <v>22</v>
      </c>
      <c r="D38" s="150" t="s">
        <v>6</v>
      </c>
      <c r="E38" s="150" t="s">
        <v>10</v>
      </c>
      <c r="F38" s="149" t="s">
        <v>273</v>
      </c>
      <c r="G38" s="17"/>
      <c r="H38" s="196">
        <f t="shared" si="1"/>
        <v>30</v>
      </c>
      <c r="I38" s="196">
        <f t="shared" si="1"/>
        <v>30</v>
      </c>
      <c r="J38" s="196">
        <f t="shared" si="1"/>
        <v>30</v>
      </c>
    </row>
    <row r="39" spans="1:10" ht="32.25" customHeight="1">
      <c r="A39" s="26"/>
      <c r="B39" s="25" t="s">
        <v>208</v>
      </c>
      <c r="C39" s="50" t="s">
        <v>22</v>
      </c>
      <c r="D39" s="16" t="s">
        <v>6</v>
      </c>
      <c r="E39" s="16" t="s">
        <v>10</v>
      </c>
      <c r="F39" s="149" t="s">
        <v>274</v>
      </c>
      <c r="G39" s="17" t="s">
        <v>139</v>
      </c>
      <c r="H39" s="194">
        <v>30</v>
      </c>
      <c r="I39" s="197">
        <v>30</v>
      </c>
      <c r="J39" s="197">
        <v>30</v>
      </c>
    </row>
    <row r="40" spans="1:10" ht="27.75" customHeight="1">
      <c r="A40" s="26" t="s">
        <v>146</v>
      </c>
      <c r="B40" s="56" t="s">
        <v>128</v>
      </c>
      <c r="C40" s="50" t="s">
        <v>22</v>
      </c>
      <c r="D40" s="68" t="s">
        <v>6</v>
      </c>
      <c r="E40" s="68" t="s">
        <v>129</v>
      </c>
      <c r="F40" s="149"/>
      <c r="G40" s="17"/>
      <c r="H40" s="193">
        <f>H44+H45+H46+H49+H43+H47+H48</f>
        <v>2090.0299999999997</v>
      </c>
      <c r="I40" s="193">
        <f>I44+I45+I46+I49+I43+I47+I48</f>
        <v>1389.4</v>
      </c>
      <c r="J40" s="193">
        <f>J44+J45+J46+J49+J43+J47+J48</f>
        <v>1389.4</v>
      </c>
    </row>
    <row r="41" spans="1:10" ht="27" customHeight="1">
      <c r="A41" s="3"/>
      <c r="B41" s="163" t="s">
        <v>203</v>
      </c>
      <c r="C41" s="49" t="s">
        <v>22</v>
      </c>
      <c r="D41" s="150" t="s">
        <v>6</v>
      </c>
      <c r="E41" s="150" t="s">
        <v>129</v>
      </c>
      <c r="F41" s="149" t="s">
        <v>12</v>
      </c>
      <c r="G41" s="17"/>
      <c r="H41" s="196">
        <f>H42</f>
        <v>2090.0299999999997</v>
      </c>
      <c r="I41" s="196">
        <f>I42</f>
        <v>1389.4</v>
      </c>
      <c r="J41" s="196">
        <f>J42</f>
        <v>1389.4</v>
      </c>
    </row>
    <row r="42" spans="1:10" ht="27" customHeight="1">
      <c r="A42" s="3"/>
      <c r="B42" s="164" t="s">
        <v>227</v>
      </c>
      <c r="C42" s="49" t="s">
        <v>22</v>
      </c>
      <c r="D42" s="150" t="s">
        <v>6</v>
      </c>
      <c r="E42" s="150" t="s">
        <v>129</v>
      </c>
      <c r="F42" s="149" t="s">
        <v>235</v>
      </c>
      <c r="G42" s="17"/>
      <c r="H42" s="196">
        <f>H44+H45+H46+H49+H43+H47+H48</f>
        <v>2090.0299999999997</v>
      </c>
      <c r="I42" s="196">
        <f>I44+I45+I46+I49+I43+I47+I48</f>
        <v>1389.4</v>
      </c>
      <c r="J42" s="196">
        <f>J44+J45+J46+J49+J43+J47+J48</f>
        <v>1389.4</v>
      </c>
    </row>
    <row r="43" spans="1:11" ht="77.25" customHeight="1">
      <c r="A43" s="26"/>
      <c r="B43" s="25" t="s">
        <v>220</v>
      </c>
      <c r="C43" s="50" t="s">
        <v>22</v>
      </c>
      <c r="D43" s="16" t="s">
        <v>6</v>
      </c>
      <c r="E43" s="16" t="s">
        <v>129</v>
      </c>
      <c r="F43" s="149" t="s">
        <v>237</v>
      </c>
      <c r="G43" s="17" t="s">
        <v>25</v>
      </c>
      <c r="H43" s="194">
        <f>604-20.12+20.12+1000-425.86-219.35+100-31.27</f>
        <v>1027.52</v>
      </c>
      <c r="I43" s="195">
        <v>666.4</v>
      </c>
      <c r="J43" s="195">
        <v>666.4</v>
      </c>
      <c r="K43" s="5">
        <f>-425.86-219.35+100-31.27</f>
        <v>-576.48</v>
      </c>
    </row>
    <row r="44" spans="1:11" ht="77.25" customHeight="1">
      <c r="A44" s="26"/>
      <c r="B44" s="25" t="s">
        <v>284</v>
      </c>
      <c r="C44" s="50" t="s">
        <v>22</v>
      </c>
      <c r="D44" s="16" t="s">
        <v>6</v>
      </c>
      <c r="E44" s="16" t="s">
        <v>129</v>
      </c>
      <c r="F44" s="149" t="s">
        <v>237</v>
      </c>
      <c r="G44" s="17" t="s">
        <v>283</v>
      </c>
      <c r="H44" s="194">
        <f>458+16-25.77</f>
        <v>448.23</v>
      </c>
      <c r="I44" s="195">
        <v>458</v>
      </c>
      <c r="J44" s="195">
        <v>458</v>
      </c>
      <c r="K44" s="5">
        <v>-25.77</v>
      </c>
    </row>
    <row r="45" spans="1:11" ht="62.25" customHeight="1">
      <c r="A45" s="26"/>
      <c r="B45" s="25" t="s">
        <v>217</v>
      </c>
      <c r="C45" s="50" t="s">
        <v>22</v>
      </c>
      <c r="D45" s="16" t="s">
        <v>6</v>
      </c>
      <c r="E45" s="16" t="s">
        <v>129</v>
      </c>
      <c r="F45" s="149" t="s">
        <v>237</v>
      </c>
      <c r="G45" s="17" t="s">
        <v>26</v>
      </c>
      <c r="H45" s="194">
        <f>5+15-8.33</f>
        <v>11.67</v>
      </c>
      <c r="I45" s="195">
        <v>5</v>
      </c>
      <c r="J45" s="195">
        <v>5</v>
      </c>
      <c r="K45" s="5">
        <v>-8.33</v>
      </c>
    </row>
    <row r="46" spans="1:11" ht="62.25" customHeight="1">
      <c r="A46" s="26"/>
      <c r="B46" s="25" t="s">
        <v>285</v>
      </c>
      <c r="C46" s="50" t="s">
        <v>22</v>
      </c>
      <c r="D46" s="16" t="s">
        <v>6</v>
      </c>
      <c r="E46" s="16" t="s">
        <v>129</v>
      </c>
      <c r="F46" s="149" t="s">
        <v>237</v>
      </c>
      <c r="G46" s="17" t="s">
        <v>27</v>
      </c>
      <c r="H46" s="194">
        <f>15-4.62</f>
        <v>10.379999999999999</v>
      </c>
      <c r="I46" s="195">
        <v>15</v>
      </c>
      <c r="J46" s="195">
        <v>15</v>
      </c>
      <c r="K46" s="5">
        <v>-4.62</v>
      </c>
    </row>
    <row r="47" spans="1:11" ht="54" customHeight="1">
      <c r="A47" s="26"/>
      <c r="B47" s="25" t="s">
        <v>216</v>
      </c>
      <c r="C47" s="50" t="s">
        <v>22</v>
      </c>
      <c r="D47" s="16" t="s">
        <v>6</v>
      </c>
      <c r="E47" s="16" t="s">
        <v>129</v>
      </c>
      <c r="F47" s="149" t="s">
        <v>237</v>
      </c>
      <c r="G47" s="17" t="s">
        <v>142</v>
      </c>
      <c r="H47" s="194">
        <f>5-3+1.03</f>
        <v>3.0300000000000002</v>
      </c>
      <c r="I47" s="195">
        <v>5</v>
      </c>
      <c r="J47" s="195">
        <v>5</v>
      </c>
      <c r="K47" s="5">
        <v>1.03</v>
      </c>
    </row>
    <row r="48" spans="1:10" ht="23.25" customHeight="1">
      <c r="A48" s="26"/>
      <c r="B48" s="25" t="s">
        <v>188</v>
      </c>
      <c r="C48" s="50" t="s">
        <v>22</v>
      </c>
      <c r="D48" s="16" t="s">
        <v>6</v>
      </c>
      <c r="E48" s="16" t="s">
        <v>129</v>
      </c>
      <c r="F48" s="149" t="s">
        <v>236</v>
      </c>
      <c r="G48" s="17" t="s">
        <v>25</v>
      </c>
      <c r="H48" s="194">
        <v>556.8</v>
      </c>
      <c r="I48" s="194">
        <v>240</v>
      </c>
      <c r="J48" s="194">
        <v>240</v>
      </c>
    </row>
    <row r="49" spans="1:11" ht="52.5" customHeight="1">
      <c r="A49" s="26"/>
      <c r="B49" s="25" t="s">
        <v>366</v>
      </c>
      <c r="C49" s="50" t="s">
        <v>22</v>
      </c>
      <c r="D49" s="16" t="s">
        <v>6</v>
      </c>
      <c r="E49" s="16" t="s">
        <v>129</v>
      </c>
      <c r="F49" s="149" t="s">
        <v>367</v>
      </c>
      <c r="G49" s="17" t="s">
        <v>25</v>
      </c>
      <c r="H49" s="194">
        <v>32.4</v>
      </c>
      <c r="I49" s="195"/>
      <c r="J49" s="195"/>
      <c r="K49" s="5">
        <v>32.4</v>
      </c>
    </row>
    <row r="50" spans="1:10" ht="24" customHeight="1">
      <c r="A50" s="74">
        <v>2</v>
      </c>
      <c r="B50" s="71" t="s">
        <v>28</v>
      </c>
      <c r="C50" s="72" t="s">
        <v>22</v>
      </c>
      <c r="D50" s="73" t="s">
        <v>12</v>
      </c>
      <c r="E50" s="73"/>
      <c r="F50" s="152"/>
      <c r="G50" s="156"/>
      <c r="H50" s="198">
        <f>H55+H56+H57+H58</f>
        <v>463.1</v>
      </c>
      <c r="I50" s="198">
        <f>I55+I56+I57+I58</f>
        <v>459.1</v>
      </c>
      <c r="J50" s="198">
        <f>J55+J56+J57+J58</f>
        <v>476.6</v>
      </c>
    </row>
    <row r="51" spans="1:10" s="165" customFormat="1" ht="24.75" customHeight="1">
      <c r="A51" s="26" t="s">
        <v>33</v>
      </c>
      <c r="B51" s="25" t="s">
        <v>29</v>
      </c>
      <c r="C51" s="49" t="s">
        <v>22</v>
      </c>
      <c r="D51" s="16" t="s">
        <v>12</v>
      </c>
      <c r="E51" s="16" t="s">
        <v>16</v>
      </c>
      <c r="F51" s="149"/>
      <c r="G51" s="17"/>
      <c r="H51" s="194">
        <f>H52</f>
        <v>463.1</v>
      </c>
      <c r="I51" s="194">
        <f aca="true" t="shared" si="2" ref="I51:J53">I52</f>
        <v>459.1</v>
      </c>
      <c r="J51" s="194">
        <f t="shared" si="2"/>
        <v>476.6</v>
      </c>
    </row>
    <row r="52" spans="1:10" s="165" customFormat="1" ht="23.25" customHeight="1">
      <c r="A52" s="3"/>
      <c r="B52" s="163" t="s">
        <v>203</v>
      </c>
      <c r="C52" s="49" t="s">
        <v>22</v>
      </c>
      <c r="D52" s="150" t="s">
        <v>12</v>
      </c>
      <c r="E52" s="150" t="s">
        <v>16</v>
      </c>
      <c r="F52" s="149" t="s">
        <v>12</v>
      </c>
      <c r="G52" s="17"/>
      <c r="H52" s="196">
        <f>H53</f>
        <v>463.1</v>
      </c>
      <c r="I52" s="196">
        <f t="shared" si="2"/>
        <v>459.1</v>
      </c>
      <c r="J52" s="196">
        <f t="shared" si="2"/>
        <v>476.6</v>
      </c>
    </row>
    <row r="53" spans="1:10" ht="41.25" customHeight="1">
      <c r="A53" s="3"/>
      <c r="B53" s="164" t="s">
        <v>30</v>
      </c>
      <c r="C53" s="49" t="s">
        <v>22</v>
      </c>
      <c r="D53" s="150" t="s">
        <v>12</v>
      </c>
      <c r="E53" s="150" t="s">
        <v>16</v>
      </c>
      <c r="F53" s="149" t="s">
        <v>238</v>
      </c>
      <c r="G53" s="17"/>
      <c r="H53" s="196">
        <f>H54</f>
        <v>463.1</v>
      </c>
      <c r="I53" s="196">
        <f t="shared" si="2"/>
        <v>459.1</v>
      </c>
      <c r="J53" s="196">
        <f t="shared" si="2"/>
        <v>476.6</v>
      </c>
    </row>
    <row r="54" spans="1:10" ht="51" customHeight="1">
      <c r="A54" s="18"/>
      <c r="B54" s="25" t="s">
        <v>204</v>
      </c>
      <c r="C54" s="50" t="s">
        <v>22</v>
      </c>
      <c r="D54" s="16" t="s">
        <v>12</v>
      </c>
      <c r="E54" s="16" t="s">
        <v>16</v>
      </c>
      <c r="F54" s="149" t="s">
        <v>239</v>
      </c>
      <c r="G54" s="17"/>
      <c r="H54" s="194">
        <f>H55+H56+H57+H58</f>
        <v>463.1</v>
      </c>
      <c r="I54" s="194">
        <f>I55+I56+I57+I58</f>
        <v>459.1</v>
      </c>
      <c r="J54" s="194">
        <f>J55+J56+J57+J58</f>
        <v>476.6</v>
      </c>
    </row>
    <row r="55" spans="1:11" ht="77.25" customHeight="1">
      <c r="A55" s="18"/>
      <c r="B55" s="25" t="s">
        <v>209</v>
      </c>
      <c r="C55" s="49" t="s">
        <v>22</v>
      </c>
      <c r="D55" s="16" t="s">
        <v>12</v>
      </c>
      <c r="E55" s="16" t="s">
        <v>16</v>
      </c>
      <c r="F55" s="149" t="s">
        <v>239</v>
      </c>
      <c r="G55" s="17" t="s">
        <v>23</v>
      </c>
      <c r="H55" s="194">
        <f>336.2-1.26</f>
        <v>334.94</v>
      </c>
      <c r="I55" s="195">
        <v>349.6</v>
      </c>
      <c r="J55" s="195">
        <v>363.6</v>
      </c>
      <c r="K55" s="5">
        <v>-1.26</v>
      </c>
    </row>
    <row r="56" spans="1:11" ht="87.75" customHeight="1">
      <c r="A56" s="18"/>
      <c r="B56" s="25" t="s">
        <v>210</v>
      </c>
      <c r="C56" s="49" t="s">
        <v>22</v>
      </c>
      <c r="D56" s="16" t="s">
        <v>12</v>
      </c>
      <c r="E56" s="16" t="s">
        <v>16</v>
      </c>
      <c r="F56" s="149" t="s">
        <v>239</v>
      </c>
      <c r="G56" s="17" t="s">
        <v>24</v>
      </c>
      <c r="H56" s="194">
        <f>4.6-1.075+4+1.075</f>
        <v>8.6</v>
      </c>
      <c r="I56" s="195">
        <v>4</v>
      </c>
      <c r="J56" s="195">
        <v>3.2</v>
      </c>
      <c r="K56" s="5">
        <f>4+1.07</f>
        <v>5.07</v>
      </c>
    </row>
    <row r="57" spans="1:11" ht="98.25" customHeight="1">
      <c r="A57" s="18"/>
      <c r="B57" s="25" t="s">
        <v>211</v>
      </c>
      <c r="C57" s="49" t="s">
        <v>22</v>
      </c>
      <c r="D57" s="16" t="s">
        <v>12</v>
      </c>
      <c r="E57" s="16" t="s">
        <v>16</v>
      </c>
      <c r="F57" s="149" t="s">
        <v>239</v>
      </c>
      <c r="G57" s="17" t="s">
        <v>140</v>
      </c>
      <c r="H57" s="194">
        <f>101.5-2.54-1</f>
        <v>97.96</v>
      </c>
      <c r="I57" s="195">
        <v>105.5</v>
      </c>
      <c r="J57" s="195">
        <v>109.8</v>
      </c>
      <c r="K57" s="5">
        <v>-3.53</v>
      </c>
    </row>
    <row r="58" spans="1:11" ht="87.75" customHeight="1">
      <c r="A58" s="18"/>
      <c r="B58" s="25" t="s">
        <v>221</v>
      </c>
      <c r="C58" s="49" t="s">
        <v>22</v>
      </c>
      <c r="D58" s="16" t="s">
        <v>12</v>
      </c>
      <c r="E58" s="16" t="s">
        <v>16</v>
      </c>
      <c r="F58" s="149" t="s">
        <v>239</v>
      </c>
      <c r="G58" s="17" t="s">
        <v>25</v>
      </c>
      <c r="H58" s="194">
        <f>1.075-0.275+20.8</f>
        <v>21.6</v>
      </c>
      <c r="I58" s="195"/>
      <c r="J58" s="195"/>
      <c r="K58" s="5">
        <f>-0.28+20.8</f>
        <v>20.52</v>
      </c>
    </row>
    <row r="59" spans="1:10" ht="36" customHeight="1">
      <c r="A59" s="74">
        <v>3</v>
      </c>
      <c r="B59" s="71" t="s">
        <v>18</v>
      </c>
      <c r="C59" s="72" t="s">
        <v>22</v>
      </c>
      <c r="D59" s="73" t="s">
        <v>16</v>
      </c>
      <c r="E59" s="73"/>
      <c r="F59" s="152"/>
      <c r="G59" s="156"/>
      <c r="H59" s="198">
        <f>H64</f>
        <v>24</v>
      </c>
      <c r="I59" s="198">
        <f>I64</f>
        <v>24</v>
      </c>
      <c r="J59" s="198">
        <f>J64</f>
        <v>24</v>
      </c>
    </row>
    <row r="60" spans="1:10" ht="57.75" customHeight="1">
      <c r="A60" s="26" t="s">
        <v>34</v>
      </c>
      <c r="B60" s="176" t="s">
        <v>320</v>
      </c>
      <c r="C60" s="50" t="s">
        <v>22</v>
      </c>
      <c r="D60" s="16" t="s">
        <v>31</v>
      </c>
      <c r="E60" s="16" t="s">
        <v>14</v>
      </c>
      <c r="F60" s="149"/>
      <c r="G60" s="17"/>
      <c r="H60" s="194">
        <f>H61</f>
        <v>24</v>
      </c>
      <c r="I60" s="194">
        <f aca="true" t="shared" si="3" ref="I60:J63">I61</f>
        <v>24</v>
      </c>
      <c r="J60" s="194">
        <f t="shared" si="3"/>
        <v>24</v>
      </c>
    </row>
    <row r="61" spans="1:10" ht="27" customHeight="1">
      <c r="A61" s="3"/>
      <c r="B61" s="163" t="s">
        <v>203</v>
      </c>
      <c r="C61" s="49" t="s">
        <v>22</v>
      </c>
      <c r="D61" s="150" t="s">
        <v>16</v>
      </c>
      <c r="E61" s="150" t="s">
        <v>14</v>
      </c>
      <c r="F61" s="149" t="s">
        <v>12</v>
      </c>
      <c r="G61" s="17"/>
      <c r="H61" s="196">
        <f>H62</f>
        <v>24</v>
      </c>
      <c r="I61" s="196">
        <f t="shared" si="3"/>
        <v>24</v>
      </c>
      <c r="J61" s="196">
        <f t="shared" si="3"/>
        <v>24</v>
      </c>
    </row>
    <row r="62" spans="1:10" ht="27" customHeight="1">
      <c r="A62" s="3"/>
      <c r="B62" s="5" t="s">
        <v>281</v>
      </c>
      <c r="C62" s="49" t="s">
        <v>22</v>
      </c>
      <c r="D62" s="150" t="s">
        <v>16</v>
      </c>
      <c r="E62" s="150" t="s">
        <v>14</v>
      </c>
      <c r="F62" s="149" t="s">
        <v>240</v>
      </c>
      <c r="G62" s="17"/>
      <c r="H62" s="196">
        <f>H63</f>
        <v>24</v>
      </c>
      <c r="I62" s="196">
        <f t="shared" si="3"/>
        <v>24</v>
      </c>
      <c r="J62" s="196">
        <f t="shared" si="3"/>
        <v>24</v>
      </c>
    </row>
    <row r="63" spans="1:10" ht="40.5" customHeight="1">
      <c r="A63" s="18"/>
      <c r="B63" s="25" t="s">
        <v>212</v>
      </c>
      <c r="C63" s="49" t="s">
        <v>22</v>
      </c>
      <c r="D63" s="16" t="s">
        <v>31</v>
      </c>
      <c r="E63" s="16" t="s">
        <v>14</v>
      </c>
      <c r="F63" s="149" t="s">
        <v>318</v>
      </c>
      <c r="G63" s="17"/>
      <c r="H63" s="194">
        <f>H64</f>
        <v>24</v>
      </c>
      <c r="I63" s="194">
        <f t="shared" si="3"/>
        <v>24</v>
      </c>
      <c r="J63" s="194">
        <f t="shared" si="3"/>
        <v>24</v>
      </c>
    </row>
    <row r="64" spans="1:10" ht="63.75" customHeight="1">
      <c r="A64" s="18"/>
      <c r="B64" s="25" t="s">
        <v>222</v>
      </c>
      <c r="C64" s="50" t="s">
        <v>22</v>
      </c>
      <c r="D64" s="16" t="s">
        <v>31</v>
      </c>
      <c r="E64" s="16" t="s">
        <v>14</v>
      </c>
      <c r="F64" s="149" t="s">
        <v>318</v>
      </c>
      <c r="G64" s="17" t="s">
        <v>25</v>
      </c>
      <c r="H64" s="194">
        <v>24</v>
      </c>
      <c r="I64" s="195">
        <v>24</v>
      </c>
      <c r="J64" s="195">
        <v>24</v>
      </c>
    </row>
    <row r="65" spans="1:10" ht="25.5" customHeight="1">
      <c r="A65" s="74">
        <v>4</v>
      </c>
      <c r="B65" s="71" t="s">
        <v>8</v>
      </c>
      <c r="C65" s="72" t="s">
        <v>22</v>
      </c>
      <c r="D65" s="73" t="s">
        <v>7</v>
      </c>
      <c r="E65" s="73"/>
      <c r="F65" s="152"/>
      <c r="G65" s="156"/>
      <c r="H65" s="199">
        <f>H70</f>
        <v>1180.22</v>
      </c>
      <c r="I65" s="199">
        <f>I70</f>
        <v>1231.42</v>
      </c>
      <c r="J65" s="199">
        <f>J70</f>
        <v>1341.8</v>
      </c>
    </row>
    <row r="66" spans="1:10" ht="27" customHeight="1">
      <c r="A66" s="26" t="s">
        <v>35</v>
      </c>
      <c r="B66" s="25" t="s">
        <v>85</v>
      </c>
      <c r="C66" s="50" t="s">
        <v>22</v>
      </c>
      <c r="D66" s="16" t="s">
        <v>7</v>
      </c>
      <c r="E66" s="16" t="s">
        <v>13</v>
      </c>
      <c r="F66" s="149"/>
      <c r="G66" s="17"/>
      <c r="H66" s="194">
        <f>H67</f>
        <v>1180.22</v>
      </c>
      <c r="I66" s="194">
        <f aca="true" t="shared" si="4" ref="I66:J68">I67</f>
        <v>1231.42</v>
      </c>
      <c r="J66" s="194">
        <f t="shared" si="4"/>
        <v>1341.8</v>
      </c>
    </row>
    <row r="67" spans="1:10" ht="24.75" customHeight="1">
      <c r="A67" s="3"/>
      <c r="B67" s="163" t="s">
        <v>203</v>
      </c>
      <c r="C67" s="49" t="s">
        <v>22</v>
      </c>
      <c r="D67" s="150" t="s">
        <v>7</v>
      </c>
      <c r="E67" s="150" t="s">
        <v>7</v>
      </c>
      <c r="F67" s="149" t="s">
        <v>12</v>
      </c>
      <c r="G67" s="17"/>
      <c r="H67" s="196">
        <f>H68</f>
        <v>1180.22</v>
      </c>
      <c r="I67" s="196">
        <f t="shared" si="4"/>
        <v>1231.42</v>
      </c>
      <c r="J67" s="196">
        <f t="shared" si="4"/>
        <v>1341.8</v>
      </c>
    </row>
    <row r="68" spans="1:10" ht="25.5" customHeight="1">
      <c r="A68" s="3"/>
      <c r="B68" s="164" t="s">
        <v>265</v>
      </c>
      <c r="C68" s="49" t="s">
        <v>22</v>
      </c>
      <c r="D68" s="150" t="s">
        <v>7</v>
      </c>
      <c r="E68" s="150" t="s">
        <v>7</v>
      </c>
      <c r="F68" s="149" t="s">
        <v>241</v>
      </c>
      <c r="G68" s="17"/>
      <c r="H68" s="196">
        <f>H69</f>
        <v>1180.22</v>
      </c>
      <c r="I68" s="196">
        <f t="shared" si="4"/>
        <v>1231.42</v>
      </c>
      <c r="J68" s="196">
        <f t="shared" si="4"/>
        <v>1341.8</v>
      </c>
    </row>
    <row r="69" spans="1:10" ht="31.5" customHeight="1">
      <c r="A69" s="26"/>
      <c r="B69" s="25" t="s">
        <v>213</v>
      </c>
      <c r="C69" s="50" t="s">
        <v>22</v>
      </c>
      <c r="D69" s="16" t="s">
        <v>7</v>
      </c>
      <c r="E69" s="16" t="s">
        <v>13</v>
      </c>
      <c r="F69" s="149" t="s">
        <v>242</v>
      </c>
      <c r="G69" s="17"/>
      <c r="H69" s="194">
        <f>H70</f>
        <v>1180.22</v>
      </c>
      <c r="I69" s="194">
        <f>I70</f>
        <v>1231.42</v>
      </c>
      <c r="J69" s="194">
        <f>J70</f>
        <v>1341.8</v>
      </c>
    </row>
    <row r="70" spans="1:10" ht="51" customHeight="1">
      <c r="A70" s="26"/>
      <c r="B70" s="25" t="s">
        <v>223</v>
      </c>
      <c r="C70" s="50" t="s">
        <v>22</v>
      </c>
      <c r="D70" s="16" t="s">
        <v>7</v>
      </c>
      <c r="E70" s="16" t="s">
        <v>13</v>
      </c>
      <c r="F70" s="149" t="s">
        <v>242</v>
      </c>
      <c r="G70" s="17" t="s">
        <v>25</v>
      </c>
      <c r="H70" s="194">
        <v>1180.22</v>
      </c>
      <c r="I70" s="195">
        <v>1231.42</v>
      </c>
      <c r="J70" s="195">
        <v>1341.8</v>
      </c>
    </row>
    <row r="71" spans="1:10" ht="33" customHeight="1">
      <c r="A71" s="75" t="s">
        <v>83</v>
      </c>
      <c r="B71" s="76" t="s">
        <v>1</v>
      </c>
      <c r="C71" s="72" t="s">
        <v>22</v>
      </c>
      <c r="D71" s="73" t="s">
        <v>11</v>
      </c>
      <c r="E71" s="73"/>
      <c r="F71" s="153"/>
      <c r="G71" s="156"/>
      <c r="H71" s="199">
        <f>H72</f>
        <v>8053.34</v>
      </c>
      <c r="I71" s="199">
        <f>I72</f>
        <v>3442.3599999999997</v>
      </c>
      <c r="J71" s="199">
        <f>J72</f>
        <v>672.97</v>
      </c>
    </row>
    <row r="72" spans="1:10" ht="25.5" customHeight="1">
      <c r="A72" s="26" t="s">
        <v>168</v>
      </c>
      <c r="B72" s="25" t="s">
        <v>19</v>
      </c>
      <c r="C72" s="50" t="s">
        <v>22</v>
      </c>
      <c r="D72" s="16" t="s">
        <v>11</v>
      </c>
      <c r="E72" s="16" t="s">
        <v>16</v>
      </c>
      <c r="F72" s="148"/>
      <c r="G72" s="17"/>
      <c r="H72" s="194">
        <f>H73+H82</f>
        <v>8053.34</v>
      </c>
      <c r="I72" s="194">
        <f>I73+I82</f>
        <v>3442.3599999999997</v>
      </c>
      <c r="J72" s="194">
        <f>J73+J82</f>
        <v>672.97</v>
      </c>
    </row>
    <row r="73" spans="1:10" ht="25.5" customHeight="1">
      <c r="A73" s="3"/>
      <c r="B73" s="163" t="s">
        <v>203</v>
      </c>
      <c r="C73" s="49" t="s">
        <v>22</v>
      </c>
      <c r="D73" s="150" t="s">
        <v>11</v>
      </c>
      <c r="E73" s="150" t="s">
        <v>16</v>
      </c>
      <c r="F73" s="149" t="s">
        <v>12</v>
      </c>
      <c r="G73" s="17"/>
      <c r="H73" s="196">
        <f>H74</f>
        <v>7697.83</v>
      </c>
      <c r="I73" s="196">
        <f>I74</f>
        <v>3115.89</v>
      </c>
      <c r="J73" s="196">
        <f>J74</f>
        <v>672.97</v>
      </c>
    </row>
    <row r="74" spans="1:10" ht="25.5" customHeight="1">
      <c r="A74" s="3"/>
      <c r="B74" s="164" t="s">
        <v>266</v>
      </c>
      <c r="C74" s="49" t="s">
        <v>22</v>
      </c>
      <c r="D74" s="150" t="s">
        <v>11</v>
      </c>
      <c r="E74" s="150" t="s">
        <v>16</v>
      </c>
      <c r="F74" s="149" t="s">
        <v>243</v>
      </c>
      <c r="G74" s="17"/>
      <c r="H74" s="196">
        <f>H76+H77+H75+H79+H81+H78+H80</f>
        <v>7697.83</v>
      </c>
      <c r="I74" s="196">
        <f>I76+I77+I75+I79+I81+I78</f>
        <v>3115.89</v>
      </c>
      <c r="J74" s="196">
        <f>J76+J77+J75+J79+J81+J78</f>
        <v>672.97</v>
      </c>
    </row>
    <row r="75" spans="1:11" ht="44.25" customHeight="1">
      <c r="A75" s="18"/>
      <c r="B75" s="25" t="s">
        <v>267</v>
      </c>
      <c r="C75" s="49" t="s">
        <v>22</v>
      </c>
      <c r="D75" s="16" t="s">
        <v>11</v>
      </c>
      <c r="E75" s="16" t="s">
        <v>16</v>
      </c>
      <c r="F75" s="149" t="s">
        <v>244</v>
      </c>
      <c r="G75" s="17" t="s">
        <v>25</v>
      </c>
      <c r="H75" s="194">
        <f>184-8-133.1</f>
        <v>42.900000000000006</v>
      </c>
      <c r="I75" s="197">
        <v>284</v>
      </c>
      <c r="J75" s="197">
        <v>284</v>
      </c>
      <c r="K75" s="5">
        <v>-133.1</v>
      </c>
    </row>
    <row r="76" spans="1:11" ht="41.25" customHeight="1">
      <c r="A76" s="18"/>
      <c r="B76" s="25" t="s">
        <v>282</v>
      </c>
      <c r="C76" s="49" t="s">
        <v>22</v>
      </c>
      <c r="D76" s="16" t="s">
        <v>11</v>
      </c>
      <c r="E76" s="16" t="s">
        <v>16</v>
      </c>
      <c r="F76" s="149" t="s">
        <v>244</v>
      </c>
      <c r="G76" s="17" t="s">
        <v>283</v>
      </c>
      <c r="H76" s="194">
        <f>200+8+81-13.35</f>
        <v>275.65</v>
      </c>
      <c r="I76" s="197">
        <v>300</v>
      </c>
      <c r="J76" s="197">
        <v>300</v>
      </c>
      <c r="K76" s="5">
        <v>-13.35</v>
      </c>
    </row>
    <row r="77" spans="1:11" ht="48.75">
      <c r="A77" s="26"/>
      <c r="B77" s="25" t="s">
        <v>224</v>
      </c>
      <c r="C77" s="50" t="s">
        <v>22</v>
      </c>
      <c r="D77" s="16" t="s">
        <v>11</v>
      </c>
      <c r="E77" s="16" t="s">
        <v>16</v>
      </c>
      <c r="F77" s="149" t="s">
        <v>254</v>
      </c>
      <c r="G77" s="17" t="s">
        <v>25</v>
      </c>
      <c r="H77" s="251">
        <f>56.38+1693.65-300-17+224.01-575.33+300-14.8-15.98-0.12</f>
        <v>1350.8100000000002</v>
      </c>
      <c r="I77" s="202">
        <f>2781.89-250</f>
        <v>2531.89</v>
      </c>
      <c r="J77" s="200">
        <f>598.97-510</f>
        <v>88.97000000000003</v>
      </c>
      <c r="K77" s="5">
        <f>224.01-575.33+300-14.8-15.98-0.21</f>
        <v>-82.31000000000004</v>
      </c>
    </row>
    <row r="78" spans="1:11" ht="36" customHeight="1">
      <c r="A78" s="26"/>
      <c r="B78" s="56" t="s">
        <v>343</v>
      </c>
      <c r="C78" s="50" t="s">
        <v>22</v>
      </c>
      <c r="D78" s="16" t="s">
        <v>11</v>
      </c>
      <c r="E78" s="16" t="s">
        <v>16</v>
      </c>
      <c r="F78" s="148" t="s">
        <v>345</v>
      </c>
      <c r="G78" s="17" t="s">
        <v>25</v>
      </c>
      <c r="H78" s="194">
        <f>1272.99-0.08</f>
        <v>1272.91</v>
      </c>
      <c r="I78" s="202"/>
      <c r="J78" s="200"/>
      <c r="K78" s="5">
        <v>-0.08</v>
      </c>
    </row>
    <row r="79" spans="1:11" ht="41.25" customHeight="1">
      <c r="A79" s="26"/>
      <c r="B79" s="56" t="s">
        <v>343</v>
      </c>
      <c r="C79" s="50" t="s">
        <v>22</v>
      </c>
      <c r="D79" s="16" t="s">
        <v>11</v>
      </c>
      <c r="E79" s="16" t="s">
        <v>16</v>
      </c>
      <c r="F79" s="148" t="s">
        <v>344</v>
      </c>
      <c r="G79" s="17" t="s">
        <v>25</v>
      </c>
      <c r="H79" s="251">
        <f>1909.21-0.12+0.12</f>
        <v>1909.21</v>
      </c>
      <c r="I79" s="197">
        <v>0</v>
      </c>
      <c r="J79" s="197">
        <v>0</v>
      </c>
      <c r="K79" s="5">
        <f>-0.12+0.12</f>
        <v>0</v>
      </c>
    </row>
    <row r="80" spans="1:11" ht="41.25" customHeight="1">
      <c r="A80" s="26"/>
      <c r="B80" s="25" t="s">
        <v>352</v>
      </c>
      <c r="C80" s="49" t="s">
        <v>22</v>
      </c>
      <c r="D80" s="16" t="s">
        <v>11</v>
      </c>
      <c r="E80" s="16" t="s">
        <v>16</v>
      </c>
      <c r="F80" s="149" t="s">
        <v>353</v>
      </c>
      <c r="G80" s="17" t="s">
        <v>25</v>
      </c>
      <c r="H80" s="194">
        <f>8+255</f>
        <v>263</v>
      </c>
      <c r="I80" s="197"/>
      <c r="J80" s="197"/>
      <c r="K80" s="5">
        <v>255</v>
      </c>
    </row>
    <row r="81" spans="1:11" ht="61.5" customHeight="1">
      <c r="A81" s="26"/>
      <c r="B81" s="56" t="s">
        <v>327</v>
      </c>
      <c r="C81" s="50" t="s">
        <v>22</v>
      </c>
      <c r="D81" s="16" t="s">
        <v>11</v>
      </c>
      <c r="E81" s="16" t="s">
        <v>16</v>
      </c>
      <c r="F81" s="148" t="s">
        <v>326</v>
      </c>
      <c r="G81" s="17" t="s">
        <v>25</v>
      </c>
      <c r="H81" s="194">
        <f>83.19+1200+1846.54-546.38</f>
        <v>2583.35</v>
      </c>
      <c r="I81" s="197">
        <v>0</v>
      </c>
      <c r="J81" s="197">
        <v>0</v>
      </c>
      <c r="K81" s="5">
        <v>-546.38</v>
      </c>
    </row>
    <row r="82" spans="1:10" ht="70.5" customHeight="1">
      <c r="A82" s="3"/>
      <c r="B82" s="163" t="s">
        <v>312</v>
      </c>
      <c r="C82" s="49" t="s">
        <v>22</v>
      </c>
      <c r="D82" s="150" t="s">
        <v>11</v>
      </c>
      <c r="E82" s="150" t="s">
        <v>16</v>
      </c>
      <c r="F82" s="149" t="s">
        <v>6</v>
      </c>
      <c r="G82" s="17"/>
      <c r="H82" s="196">
        <f aca="true" t="shared" si="5" ref="H82:J84">H83</f>
        <v>355.51</v>
      </c>
      <c r="I82" s="196">
        <f t="shared" si="5"/>
        <v>326.47</v>
      </c>
      <c r="J82" s="196">
        <f t="shared" si="5"/>
        <v>0</v>
      </c>
    </row>
    <row r="83" spans="1:10" ht="23.25" customHeight="1">
      <c r="A83" s="3"/>
      <c r="B83" s="166" t="s">
        <v>228</v>
      </c>
      <c r="C83" s="49" t="s">
        <v>22</v>
      </c>
      <c r="D83" s="150" t="s">
        <v>11</v>
      </c>
      <c r="E83" s="150" t="s">
        <v>16</v>
      </c>
      <c r="F83" s="149" t="s">
        <v>218</v>
      </c>
      <c r="G83" s="17"/>
      <c r="H83" s="196">
        <f t="shared" si="5"/>
        <v>355.51</v>
      </c>
      <c r="I83" s="196">
        <f t="shared" si="5"/>
        <v>326.47</v>
      </c>
      <c r="J83" s="196">
        <f t="shared" si="5"/>
        <v>0</v>
      </c>
    </row>
    <row r="84" spans="1:10" ht="65.25" customHeight="1">
      <c r="A84" s="3"/>
      <c r="B84" s="203" t="s">
        <v>311</v>
      </c>
      <c r="C84" s="50" t="s">
        <v>22</v>
      </c>
      <c r="D84" s="16" t="s">
        <v>11</v>
      </c>
      <c r="E84" s="16" t="s">
        <v>16</v>
      </c>
      <c r="F84" s="148" t="s">
        <v>225</v>
      </c>
      <c r="G84" s="17"/>
      <c r="H84" s="196">
        <f>H85</f>
        <v>355.51</v>
      </c>
      <c r="I84" s="196">
        <f t="shared" si="5"/>
        <v>326.47</v>
      </c>
      <c r="J84" s="196">
        <f t="shared" si="5"/>
        <v>0</v>
      </c>
    </row>
    <row r="85" spans="1:10" ht="98.25" customHeight="1">
      <c r="A85" s="26"/>
      <c r="B85" s="25" t="s">
        <v>328</v>
      </c>
      <c r="C85" s="50" t="s">
        <v>22</v>
      </c>
      <c r="D85" s="16" t="s">
        <v>11</v>
      </c>
      <c r="E85" s="16" t="s">
        <v>16</v>
      </c>
      <c r="F85" s="148" t="s">
        <v>214</v>
      </c>
      <c r="G85" s="17" t="s">
        <v>25</v>
      </c>
      <c r="H85" s="194">
        <f>339.53-4.14+20.12</f>
        <v>355.51</v>
      </c>
      <c r="I85" s="200">
        <v>326.47</v>
      </c>
      <c r="J85" s="200">
        <v>0</v>
      </c>
    </row>
    <row r="86" spans="1:10" ht="29.25" customHeight="1">
      <c r="A86" s="75" t="s">
        <v>92</v>
      </c>
      <c r="B86" s="71" t="s">
        <v>165</v>
      </c>
      <c r="C86" s="72" t="s">
        <v>22</v>
      </c>
      <c r="D86" s="73" t="s">
        <v>141</v>
      </c>
      <c r="E86" s="73"/>
      <c r="F86" s="153"/>
      <c r="G86" s="156"/>
      <c r="H86" s="199">
        <f>H90</f>
        <v>32</v>
      </c>
      <c r="I86" s="199">
        <f>I90</f>
        <v>15</v>
      </c>
      <c r="J86" s="199">
        <f>J90</f>
        <v>15</v>
      </c>
    </row>
    <row r="87" spans="1:10" ht="29.25" customHeight="1">
      <c r="A87" s="26"/>
      <c r="B87" s="25" t="s">
        <v>169</v>
      </c>
      <c r="C87" s="50" t="s">
        <v>22</v>
      </c>
      <c r="D87" s="16" t="s">
        <v>141</v>
      </c>
      <c r="E87" s="16" t="s">
        <v>141</v>
      </c>
      <c r="F87" s="148"/>
      <c r="G87" s="17"/>
      <c r="H87" s="194">
        <f>H88</f>
        <v>32</v>
      </c>
      <c r="I87" s="194">
        <f aca="true" t="shared" si="6" ref="I87:J89">I88</f>
        <v>15</v>
      </c>
      <c r="J87" s="194">
        <f t="shared" si="6"/>
        <v>15</v>
      </c>
    </row>
    <row r="88" spans="1:10" ht="26.25" customHeight="1">
      <c r="A88" s="3"/>
      <c r="B88" s="163" t="s">
        <v>203</v>
      </c>
      <c r="C88" s="49" t="s">
        <v>22</v>
      </c>
      <c r="D88" s="150" t="s">
        <v>141</v>
      </c>
      <c r="E88" s="150" t="s">
        <v>141</v>
      </c>
      <c r="F88" s="149" t="s">
        <v>12</v>
      </c>
      <c r="G88" s="17"/>
      <c r="H88" s="196">
        <f>H89</f>
        <v>32</v>
      </c>
      <c r="I88" s="196">
        <f t="shared" si="6"/>
        <v>15</v>
      </c>
      <c r="J88" s="196">
        <f t="shared" si="6"/>
        <v>15</v>
      </c>
    </row>
    <row r="89" spans="1:10" ht="24.75" customHeight="1">
      <c r="A89" s="3"/>
      <c r="B89" s="25" t="s">
        <v>169</v>
      </c>
      <c r="C89" s="49" t="s">
        <v>22</v>
      </c>
      <c r="D89" s="150" t="s">
        <v>141</v>
      </c>
      <c r="E89" s="150" t="s">
        <v>141</v>
      </c>
      <c r="F89" s="149" t="s">
        <v>245</v>
      </c>
      <c r="G89" s="17"/>
      <c r="H89" s="195">
        <f>H90</f>
        <v>32</v>
      </c>
      <c r="I89" s="195">
        <f t="shared" si="6"/>
        <v>15</v>
      </c>
      <c r="J89" s="195">
        <f t="shared" si="6"/>
        <v>15</v>
      </c>
    </row>
    <row r="90" spans="1:10" ht="52.5" customHeight="1">
      <c r="A90" s="26"/>
      <c r="B90" s="25" t="s">
        <v>278</v>
      </c>
      <c r="C90" s="50" t="s">
        <v>22</v>
      </c>
      <c r="D90" s="16" t="s">
        <v>141</v>
      </c>
      <c r="E90" s="16" t="s">
        <v>141</v>
      </c>
      <c r="F90" s="149" t="s">
        <v>246</v>
      </c>
      <c r="G90" s="17" t="s">
        <v>25</v>
      </c>
      <c r="H90" s="194">
        <f>15+17</f>
        <v>32</v>
      </c>
      <c r="I90" s="197">
        <v>15</v>
      </c>
      <c r="J90" s="197">
        <v>15</v>
      </c>
    </row>
    <row r="91" spans="1:10" ht="24.75" customHeight="1">
      <c r="A91" s="74" t="s">
        <v>147</v>
      </c>
      <c r="B91" s="77" t="s">
        <v>170</v>
      </c>
      <c r="C91" s="72" t="s">
        <v>22</v>
      </c>
      <c r="D91" s="78" t="s">
        <v>17</v>
      </c>
      <c r="E91" s="78"/>
      <c r="F91" s="154"/>
      <c r="G91" s="156"/>
      <c r="H91" s="199">
        <f>H93</f>
        <v>2639.999</v>
      </c>
      <c r="I91" s="199">
        <f>I93</f>
        <v>2600</v>
      </c>
      <c r="J91" s="199">
        <f>J93</f>
        <v>2600</v>
      </c>
    </row>
    <row r="92" spans="1:10" ht="32.25" customHeight="1">
      <c r="A92" s="3"/>
      <c r="B92" s="163" t="s">
        <v>203</v>
      </c>
      <c r="C92" s="49" t="s">
        <v>22</v>
      </c>
      <c r="D92" s="150" t="s">
        <v>9</v>
      </c>
      <c r="E92" s="150" t="s">
        <v>6</v>
      </c>
      <c r="F92" s="149" t="s">
        <v>12</v>
      </c>
      <c r="G92" s="17"/>
      <c r="H92" s="196">
        <f>H93</f>
        <v>2639.999</v>
      </c>
      <c r="I92" s="196">
        <f>I93</f>
        <v>2600</v>
      </c>
      <c r="J92" s="196">
        <f>J93</f>
        <v>2600</v>
      </c>
    </row>
    <row r="93" spans="1:10" ht="25.5" customHeight="1">
      <c r="A93" s="3"/>
      <c r="B93" s="164" t="s">
        <v>229</v>
      </c>
      <c r="C93" s="49" t="s">
        <v>22</v>
      </c>
      <c r="D93" s="150" t="s">
        <v>9</v>
      </c>
      <c r="E93" s="150" t="s">
        <v>6</v>
      </c>
      <c r="F93" s="149" t="s">
        <v>247</v>
      </c>
      <c r="G93" s="17"/>
      <c r="H93" s="195">
        <f>H94+H95+H96</f>
        <v>2639.999</v>
      </c>
      <c r="I93" s="195">
        <f>I94+I95+I96</f>
        <v>2600</v>
      </c>
      <c r="J93" s="195">
        <f>J94+J95+J96</f>
        <v>2600</v>
      </c>
    </row>
    <row r="94" spans="1:11" ht="75" customHeight="1">
      <c r="A94" s="18"/>
      <c r="B94" s="25" t="s">
        <v>329</v>
      </c>
      <c r="C94" s="49" t="s">
        <v>22</v>
      </c>
      <c r="D94" s="16" t="s">
        <v>9</v>
      </c>
      <c r="E94" s="16" t="s">
        <v>6</v>
      </c>
      <c r="F94" s="149" t="s">
        <v>248</v>
      </c>
      <c r="G94" s="17" t="s">
        <v>330</v>
      </c>
      <c r="H94" s="194">
        <f>2600-33.11-9.92-222.09+15.98</f>
        <v>2350.8599999999997</v>
      </c>
      <c r="I94" s="197">
        <v>2600</v>
      </c>
      <c r="J94" s="197">
        <v>2600</v>
      </c>
      <c r="K94" s="5">
        <f>-9.92-222.09+15.98</f>
        <v>-216.03</v>
      </c>
    </row>
    <row r="95" spans="1:11" ht="66.75" customHeight="1">
      <c r="A95" s="18"/>
      <c r="B95" s="25" t="s">
        <v>268</v>
      </c>
      <c r="C95" s="49" t="s">
        <v>22</v>
      </c>
      <c r="D95" s="16" t="s">
        <v>9</v>
      </c>
      <c r="E95" s="16" t="s">
        <v>6</v>
      </c>
      <c r="F95" s="149" t="s">
        <v>249</v>
      </c>
      <c r="G95" s="17" t="s">
        <v>330</v>
      </c>
      <c r="H95" s="194">
        <f>132.41+39.68+59.219</f>
        <v>231.309</v>
      </c>
      <c r="I95" s="197">
        <v>0</v>
      </c>
      <c r="J95" s="197">
        <v>0</v>
      </c>
      <c r="K95" s="5">
        <f>39.68+59.219</f>
        <v>98.899</v>
      </c>
    </row>
    <row r="96" spans="1:11" ht="63" customHeight="1">
      <c r="A96" s="18"/>
      <c r="B96" s="25" t="s">
        <v>269</v>
      </c>
      <c r="C96" s="49" t="s">
        <v>22</v>
      </c>
      <c r="D96" s="16" t="s">
        <v>9</v>
      </c>
      <c r="E96" s="16" t="s">
        <v>6</v>
      </c>
      <c r="F96" s="149" t="s">
        <v>250</v>
      </c>
      <c r="G96" s="17" t="s">
        <v>330</v>
      </c>
      <c r="H96" s="194">
        <f>33.11+9.92+14.8</f>
        <v>57.83</v>
      </c>
      <c r="I96" s="197">
        <v>0</v>
      </c>
      <c r="J96" s="197">
        <v>0</v>
      </c>
      <c r="K96" s="5">
        <f>9.92+14.8</f>
        <v>24.72</v>
      </c>
    </row>
    <row r="97" spans="1:10" ht="25.5" customHeight="1">
      <c r="A97" s="74" t="s">
        <v>148</v>
      </c>
      <c r="B97" s="71" t="s">
        <v>120</v>
      </c>
      <c r="C97" s="72" t="s">
        <v>22</v>
      </c>
      <c r="D97" s="73" t="s">
        <v>14</v>
      </c>
      <c r="E97" s="73"/>
      <c r="F97" s="153"/>
      <c r="G97" s="156"/>
      <c r="H97" s="199">
        <f>H101</f>
        <v>0</v>
      </c>
      <c r="I97" s="199">
        <f>I101</f>
        <v>4</v>
      </c>
      <c r="J97" s="199">
        <f>J101</f>
        <v>4</v>
      </c>
    </row>
    <row r="98" spans="1:10" ht="25.5" customHeight="1">
      <c r="A98" s="18"/>
      <c r="B98" s="25" t="s">
        <v>121</v>
      </c>
      <c r="C98" s="49" t="s">
        <v>22</v>
      </c>
      <c r="D98" s="16" t="s">
        <v>14</v>
      </c>
      <c r="E98" s="16" t="s">
        <v>16</v>
      </c>
      <c r="F98" s="148"/>
      <c r="G98" s="17"/>
      <c r="H98" s="194">
        <f>H99</f>
        <v>0</v>
      </c>
      <c r="I98" s="194">
        <f aca="true" t="shared" si="7" ref="I98:J100">I99</f>
        <v>4</v>
      </c>
      <c r="J98" s="194">
        <f t="shared" si="7"/>
        <v>4</v>
      </c>
    </row>
    <row r="99" spans="1:10" ht="33.75" customHeight="1">
      <c r="A99" s="3"/>
      <c r="B99" s="163" t="s">
        <v>203</v>
      </c>
      <c r="C99" s="49" t="s">
        <v>22</v>
      </c>
      <c r="D99" s="150" t="s">
        <v>14</v>
      </c>
      <c r="E99" s="150" t="s">
        <v>16</v>
      </c>
      <c r="F99" s="149" t="s">
        <v>12</v>
      </c>
      <c r="G99" s="17"/>
      <c r="H99" s="196">
        <f>H100</f>
        <v>0</v>
      </c>
      <c r="I99" s="196">
        <f t="shared" si="7"/>
        <v>4</v>
      </c>
      <c r="J99" s="196">
        <f t="shared" si="7"/>
        <v>4</v>
      </c>
    </row>
    <row r="100" spans="1:10" ht="27.75" customHeight="1">
      <c r="A100" s="3"/>
      <c r="B100" s="164" t="s">
        <v>270</v>
      </c>
      <c r="C100" s="49" t="s">
        <v>22</v>
      </c>
      <c r="D100" s="150" t="s">
        <v>14</v>
      </c>
      <c r="E100" s="150" t="s">
        <v>16</v>
      </c>
      <c r="F100" s="149" t="s">
        <v>251</v>
      </c>
      <c r="G100" s="17"/>
      <c r="H100" s="196">
        <f>H101</f>
        <v>0</v>
      </c>
      <c r="I100" s="196">
        <f t="shared" si="7"/>
        <v>4</v>
      </c>
      <c r="J100" s="196">
        <f t="shared" si="7"/>
        <v>4</v>
      </c>
    </row>
    <row r="101" spans="1:11" ht="64.5" customHeight="1">
      <c r="A101" s="18"/>
      <c r="B101" s="25" t="s">
        <v>215</v>
      </c>
      <c r="C101" s="49" t="s">
        <v>22</v>
      </c>
      <c r="D101" s="16" t="s">
        <v>14</v>
      </c>
      <c r="E101" s="16" t="s">
        <v>16</v>
      </c>
      <c r="F101" s="149" t="s">
        <v>252</v>
      </c>
      <c r="G101" s="17" t="s">
        <v>122</v>
      </c>
      <c r="H101" s="194">
        <f>4-4</f>
        <v>0</v>
      </c>
      <c r="I101" s="197">
        <v>4</v>
      </c>
      <c r="J101" s="197">
        <v>4</v>
      </c>
      <c r="K101" s="5">
        <v>-4</v>
      </c>
    </row>
    <row r="102" spans="1:10" ht="24" customHeight="1">
      <c r="A102" s="75" t="s">
        <v>149</v>
      </c>
      <c r="B102" s="71" t="s">
        <v>171</v>
      </c>
      <c r="C102" s="72" t="s">
        <v>22</v>
      </c>
      <c r="D102" s="73" t="s">
        <v>10</v>
      </c>
      <c r="E102" s="73"/>
      <c r="F102" s="153"/>
      <c r="G102" s="156"/>
      <c r="H102" s="199">
        <f>H106</f>
        <v>23</v>
      </c>
      <c r="I102" s="199">
        <f>I106</f>
        <v>15</v>
      </c>
      <c r="J102" s="199">
        <f>J106</f>
        <v>15</v>
      </c>
    </row>
    <row r="103" spans="1:10" ht="24" customHeight="1">
      <c r="A103" s="18"/>
      <c r="B103" s="25" t="s">
        <v>86</v>
      </c>
      <c r="C103" s="49" t="s">
        <v>22</v>
      </c>
      <c r="D103" s="16" t="s">
        <v>10</v>
      </c>
      <c r="E103" s="16" t="s">
        <v>12</v>
      </c>
      <c r="F103" s="148"/>
      <c r="G103" s="17"/>
      <c r="H103" s="194">
        <f>H104</f>
        <v>23</v>
      </c>
      <c r="I103" s="194">
        <f aca="true" t="shared" si="8" ref="I103:J105">I104</f>
        <v>15</v>
      </c>
      <c r="J103" s="194">
        <f t="shared" si="8"/>
        <v>15</v>
      </c>
    </row>
    <row r="104" spans="1:10" ht="28.5" customHeight="1">
      <c r="A104" s="3"/>
      <c r="B104" s="163" t="s">
        <v>203</v>
      </c>
      <c r="C104" s="49" t="s">
        <v>22</v>
      </c>
      <c r="D104" s="150" t="s">
        <v>10</v>
      </c>
      <c r="E104" s="150" t="s">
        <v>12</v>
      </c>
      <c r="F104" s="149" t="s">
        <v>12</v>
      </c>
      <c r="G104" s="17"/>
      <c r="H104" s="196">
        <f>H105</f>
        <v>23</v>
      </c>
      <c r="I104" s="196">
        <f t="shared" si="8"/>
        <v>15</v>
      </c>
      <c r="J104" s="196">
        <f t="shared" si="8"/>
        <v>15</v>
      </c>
    </row>
    <row r="105" spans="1:10" ht="23.25" customHeight="1">
      <c r="A105" s="3"/>
      <c r="B105" s="164" t="s">
        <v>272</v>
      </c>
      <c r="C105" s="49" t="s">
        <v>22</v>
      </c>
      <c r="D105" s="150" t="s">
        <v>10</v>
      </c>
      <c r="E105" s="150" t="s">
        <v>12</v>
      </c>
      <c r="F105" s="149" t="s">
        <v>234</v>
      </c>
      <c r="G105" s="17"/>
      <c r="H105" s="196">
        <f>H106</f>
        <v>23</v>
      </c>
      <c r="I105" s="196">
        <f t="shared" si="8"/>
        <v>15</v>
      </c>
      <c r="J105" s="196">
        <f t="shared" si="8"/>
        <v>15</v>
      </c>
    </row>
    <row r="106" spans="1:11" ht="54" customHeight="1">
      <c r="A106" s="18"/>
      <c r="B106" s="25" t="s">
        <v>271</v>
      </c>
      <c r="C106" s="49" t="s">
        <v>22</v>
      </c>
      <c r="D106" s="16" t="s">
        <v>10</v>
      </c>
      <c r="E106" s="16" t="s">
        <v>12</v>
      </c>
      <c r="F106" s="149" t="s">
        <v>253</v>
      </c>
      <c r="G106" s="17" t="s">
        <v>25</v>
      </c>
      <c r="H106" s="194">
        <f>10+10+3</f>
        <v>23</v>
      </c>
      <c r="I106" s="194">
        <v>15</v>
      </c>
      <c r="J106" s="194">
        <v>15</v>
      </c>
      <c r="K106" s="5">
        <v>3</v>
      </c>
    </row>
    <row r="107" spans="1:11" ht="32.25" customHeight="1">
      <c r="A107" s="18"/>
      <c r="B107" s="80" t="s">
        <v>36</v>
      </c>
      <c r="C107" s="81" t="s">
        <v>22</v>
      </c>
      <c r="D107" s="79"/>
      <c r="E107" s="79"/>
      <c r="F107" s="155"/>
      <c r="G107" s="157"/>
      <c r="H107" s="201">
        <f>H8+H50+H59+H65+H71+H86+H91+H97+H102</f>
        <v>19412.029</v>
      </c>
      <c r="I107" s="201">
        <f>I8+I50+I59+I65+I71+I86+I91+I97+I102</f>
        <v>12772.580000000002</v>
      </c>
      <c r="J107" s="201">
        <f>J8+J50+J59+J65+J71+J86+J91+J97+J102</f>
        <v>10131.070000000002</v>
      </c>
      <c r="K107" s="5">
        <f>SUM(K7:K106)</f>
        <v>-647.801</v>
      </c>
    </row>
    <row r="108" ht="9.75" customHeight="1"/>
    <row r="109" spans="6:10" ht="21" customHeight="1">
      <c r="F109" s="147" t="s">
        <v>346</v>
      </c>
      <c r="I109" s="5">
        <v>250</v>
      </c>
      <c r="J109" s="5">
        <v>510</v>
      </c>
    </row>
    <row r="110" spans="6:10" ht="12">
      <c r="F110" s="147" t="s">
        <v>347</v>
      </c>
      <c r="I110" s="208">
        <f>I107+I109</f>
        <v>13022.580000000002</v>
      </c>
      <c r="J110" s="208">
        <f>J107+J109</f>
        <v>10641.070000000002</v>
      </c>
    </row>
  </sheetData>
  <sheetProtection/>
  <mergeCells count="4">
    <mergeCell ref="A3:G3"/>
    <mergeCell ref="A4:G4"/>
    <mergeCell ref="F2:J2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79">
      <selection activeCell="J76" sqref="J76:J78"/>
    </sheetView>
  </sheetViews>
  <sheetFormatPr defaultColWidth="8.875" defaultRowHeight="12.75"/>
  <cols>
    <col min="1" max="1" width="3.75390625" style="51" customWidth="1"/>
    <col min="2" max="2" width="34.00390625" style="6" customWidth="1"/>
    <col min="3" max="3" width="2.875" style="1" customWidth="1"/>
    <col min="4" max="4" width="4.875" style="1" customWidth="1"/>
    <col min="5" max="5" width="12.625" style="1" customWidth="1"/>
    <col min="6" max="6" width="6.75390625" style="1" customWidth="1"/>
    <col min="7" max="9" width="12.25390625" style="1" customWidth="1"/>
    <col min="10" max="16384" width="8.875" style="1" customWidth="1"/>
  </cols>
  <sheetData>
    <row r="1" spans="6:9" ht="12.75">
      <c r="F1" s="233" t="s">
        <v>315</v>
      </c>
      <c r="G1" s="216"/>
      <c r="H1" s="216"/>
      <c r="I1" s="216"/>
    </row>
    <row r="2" spans="2:9" ht="64.5" customHeight="1">
      <c r="B2" s="19"/>
      <c r="C2" s="28"/>
      <c r="D2" s="28"/>
      <c r="E2" s="28"/>
      <c r="F2" s="234" t="str">
        <f>'пр.1 доходы'!I2</f>
        <v> к Решению Совета Кааламского сельского поселения № 21 от 22.12.2023г . "О внесении изменений в Решение Совета Кааламского сельского поселения от 24 декабря 2022 г. № 137 «О бюджете Кааламского сельского поселения на 2023 год и на плановый период 2024-2025 годы»     </v>
      </c>
      <c r="G2" s="235"/>
      <c r="H2" s="235"/>
      <c r="I2" s="235"/>
    </row>
    <row r="3" spans="1:9" ht="39.75" customHeight="1">
      <c r="A3" s="236" t="s">
        <v>319</v>
      </c>
      <c r="B3" s="236"/>
      <c r="C3" s="236"/>
      <c r="D3" s="237"/>
      <c r="E3" s="237"/>
      <c r="F3" s="237"/>
      <c r="G3" s="237"/>
      <c r="H3" s="237"/>
      <c r="I3" s="237"/>
    </row>
    <row r="4" spans="1:7" ht="14.25" customHeight="1">
      <c r="A4" s="227" t="str">
        <f>'пр.1 доходы'!A4:M4</f>
        <v>на 2023 год и на плановый период 2024-2025 годы</v>
      </c>
      <c r="B4" s="227"/>
      <c r="C4" s="227"/>
      <c r="D4" s="232"/>
      <c r="E4" s="232"/>
      <c r="F4" s="232"/>
      <c r="G4" s="232"/>
    </row>
    <row r="5" spans="3:9" ht="13.5" customHeight="1">
      <c r="C5" s="7"/>
      <c r="I5" s="1" t="s">
        <v>163</v>
      </c>
    </row>
    <row r="6" spans="1:9" s="5" customFormat="1" ht="45.75" customHeight="1">
      <c r="A6" s="8"/>
      <c r="B6" s="9"/>
      <c r="C6" s="159"/>
      <c r="D6" s="159"/>
      <c r="E6" s="160"/>
      <c r="F6" s="161"/>
      <c r="G6" s="21"/>
      <c r="H6" s="21"/>
      <c r="I6" s="21"/>
    </row>
    <row r="7" spans="1:9" s="5" customFormat="1" ht="32.25" customHeight="1">
      <c r="A7" s="70">
        <v>1</v>
      </c>
      <c r="B7" s="71" t="s">
        <v>5</v>
      </c>
      <c r="C7" s="73" t="s">
        <v>6</v>
      </c>
      <c r="D7" s="73"/>
      <c r="E7" s="152"/>
      <c r="F7" s="156"/>
      <c r="G7" s="192">
        <f>G8+G15+G27+G35+G39+G32</f>
        <v>6996.37</v>
      </c>
      <c r="H7" s="192">
        <f>H8+H15+H27+H35+H39+H32</f>
        <v>4981.700000000001</v>
      </c>
      <c r="I7" s="192">
        <f>I8+I15+I27+I35+I39+I32</f>
        <v>4981.700000000001</v>
      </c>
    </row>
    <row r="8" spans="1:9" s="5" customFormat="1" ht="44.25" customHeight="1">
      <c r="A8" s="3" t="s">
        <v>32</v>
      </c>
      <c r="B8" s="56" t="s">
        <v>172</v>
      </c>
      <c r="C8" s="68" t="s">
        <v>6</v>
      </c>
      <c r="D8" s="68" t="s">
        <v>12</v>
      </c>
      <c r="E8" s="149"/>
      <c r="F8" s="17"/>
      <c r="G8" s="193">
        <f>G11+G12+G13+G14</f>
        <v>1940.21</v>
      </c>
      <c r="H8" s="193">
        <f>H11+H12+H13+H14</f>
        <v>1429.7</v>
      </c>
      <c r="I8" s="193">
        <f>I11+I12+I13+I14</f>
        <v>1429.7</v>
      </c>
    </row>
    <row r="9" spans="1:9" s="5" customFormat="1" ht="23.25" customHeight="1">
      <c r="A9" s="2"/>
      <c r="B9" s="25" t="s">
        <v>203</v>
      </c>
      <c r="C9" s="16" t="s">
        <v>6</v>
      </c>
      <c r="D9" s="16" t="s">
        <v>12</v>
      </c>
      <c r="E9" s="149" t="s">
        <v>12</v>
      </c>
      <c r="F9" s="17"/>
      <c r="G9" s="194">
        <f>G10</f>
        <v>1940.21</v>
      </c>
      <c r="H9" s="194">
        <f>H10</f>
        <v>1429.7</v>
      </c>
      <c r="I9" s="194">
        <f>I10</f>
        <v>1429.7</v>
      </c>
    </row>
    <row r="10" spans="1:9" s="5" customFormat="1" ht="29.25" customHeight="1">
      <c r="A10" s="2"/>
      <c r="B10" s="162" t="s">
        <v>205</v>
      </c>
      <c r="C10" s="16" t="s">
        <v>6</v>
      </c>
      <c r="D10" s="16" t="s">
        <v>12</v>
      </c>
      <c r="E10" s="149" t="s">
        <v>230</v>
      </c>
      <c r="F10" s="17"/>
      <c r="G10" s="194">
        <f>G11+G12+G13+G14</f>
        <v>1940.21</v>
      </c>
      <c r="H10" s="194">
        <f>H11+H12+H13+H14</f>
        <v>1429.7</v>
      </c>
      <c r="I10" s="194">
        <f>I11+I12+I13+I14</f>
        <v>1429.7</v>
      </c>
    </row>
    <row r="11" spans="1:9" s="5" customFormat="1" ht="41.25" customHeight="1">
      <c r="A11" s="2"/>
      <c r="B11" s="25" t="s">
        <v>279</v>
      </c>
      <c r="C11" s="16" t="s">
        <v>6</v>
      </c>
      <c r="D11" s="16" t="s">
        <v>12</v>
      </c>
      <c r="E11" s="149" t="s">
        <v>231</v>
      </c>
      <c r="F11" s="17" t="s">
        <v>23</v>
      </c>
      <c r="G11" s="194">
        <f>1099+395.75-8.99</f>
        <v>1485.76</v>
      </c>
      <c r="H11" s="195">
        <v>1099</v>
      </c>
      <c r="I11" s="195">
        <v>1099</v>
      </c>
    </row>
    <row r="12" spans="1:9" s="5" customFormat="1" ht="78" customHeight="1">
      <c r="A12" s="2"/>
      <c r="B12" s="25" t="s">
        <v>280</v>
      </c>
      <c r="C12" s="16" t="s">
        <v>6</v>
      </c>
      <c r="D12" s="16" t="s">
        <v>12</v>
      </c>
      <c r="E12" s="149" t="s">
        <v>231</v>
      </c>
      <c r="F12" s="17" t="s">
        <v>140</v>
      </c>
      <c r="G12" s="194">
        <f>330.7+114.55-2.72</f>
        <v>442.53</v>
      </c>
      <c r="H12" s="195">
        <v>330.7</v>
      </c>
      <c r="I12" s="195">
        <v>330.7</v>
      </c>
    </row>
    <row r="13" spans="1:9" s="5" customFormat="1" ht="55.5" customHeight="1">
      <c r="A13" s="2"/>
      <c r="B13" s="25" t="s">
        <v>362</v>
      </c>
      <c r="C13" s="16" t="s">
        <v>6</v>
      </c>
      <c r="D13" s="16" t="s">
        <v>12</v>
      </c>
      <c r="E13" s="149" t="s">
        <v>360</v>
      </c>
      <c r="F13" s="17" t="s">
        <v>23</v>
      </c>
      <c r="G13" s="194">
        <v>9.16</v>
      </c>
      <c r="H13" s="195"/>
      <c r="I13" s="195"/>
    </row>
    <row r="14" spans="1:9" s="5" customFormat="1" ht="89.25" customHeight="1">
      <c r="A14" s="2"/>
      <c r="B14" s="25" t="s">
        <v>363</v>
      </c>
      <c r="C14" s="16" t="s">
        <v>6</v>
      </c>
      <c r="D14" s="16" t="s">
        <v>12</v>
      </c>
      <c r="E14" s="149" t="s">
        <v>361</v>
      </c>
      <c r="F14" s="17" t="s">
        <v>140</v>
      </c>
      <c r="G14" s="194">
        <v>2.76</v>
      </c>
      <c r="H14" s="195"/>
      <c r="I14" s="195"/>
    </row>
    <row r="15" spans="1:9" s="5" customFormat="1" ht="59.25" customHeight="1">
      <c r="A15" s="3" t="s">
        <v>57</v>
      </c>
      <c r="B15" s="56" t="s">
        <v>173</v>
      </c>
      <c r="C15" s="68" t="s">
        <v>6</v>
      </c>
      <c r="D15" s="68" t="s">
        <v>7</v>
      </c>
      <c r="E15" s="149"/>
      <c r="F15" s="17"/>
      <c r="G15" s="193">
        <f>G16</f>
        <v>2240.41</v>
      </c>
      <c r="H15" s="193">
        <f>H16</f>
        <v>2132.6</v>
      </c>
      <c r="I15" s="193">
        <f>I16</f>
        <v>2132.6</v>
      </c>
    </row>
    <row r="16" spans="1:9" s="5" customFormat="1" ht="21.75" customHeight="1">
      <c r="A16" s="3"/>
      <c r="B16" s="163" t="s">
        <v>203</v>
      </c>
      <c r="C16" s="150" t="s">
        <v>6</v>
      </c>
      <c r="D16" s="150" t="s">
        <v>7</v>
      </c>
      <c r="E16" s="149" t="s">
        <v>12</v>
      </c>
      <c r="F16" s="17"/>
      <c r="G16" s="196">
        <f>G19+G20+G21+G22+G23+G24+G25+G26</f>
        <v>2240.41</v>
      </c>
      <c r="H16" s="196">
        <f>H19+H20+H21+H22+H23+H24+H25+H26</f>
        <v>2132.6</v>
      </c>
      <c r="I16" s="196">
        <f>I19+I20+I21+I22+I23+I24+I25+I26</f>
        <v>2132.6</v>
      </c>
    </row>
    <row r="17" spans="1:9" s="5" customFormat="1" ht="30" customHeight="1">
      <c r="A17" s="3"/>
      <c r="B17" s="162" t="s">
        <v>205</v>
      </c>
      <c r="C17" s="16" t="s">
        <v>6</v>
      </c>
      <c r="D17" s="16" t="s">
        <v>7</v>
      </c>
      <c r="E17" s="149" t="s">
        <v>230</v>
      </c>
      <c r="F17" s="17"/>
      <c r="G17" s="196">
        <f>G19+G20+G21+G22+G23+G24+G25+G26</f>
        <v>2240.41</v>
      </c>
      <c r="H17" s="196">
        <f>H19+H20+H21+H22+H23+H24+H25+H26</f>
        <v>2132.6</v>
      </c>
      <c r="I17" s="196">
        <f>I19+I20+I21+I22+I23+I24+I25+I26</f>
        <v>2132.6</v>
      </c>
    </row>
    <row r="18" spans="1:9" s="5" customFormat="1" ht="38.25" customHeight="1">
      <c r="A18" s="2"/>
      <c r="B18" s="25" t="s">
        <v>259</v>
      </c>
      <c r="C18" s="16" t="s">
        <v>6</v>
      </c>
      <c r="D18" s="16" t="s">
        <v>7</v>
      </c>
      <c r="E18" s="149" t="s">
        <v>232</v>
      </c>
      <c r="F18" s="17"/>
      <c r="G18" s="194">
        <f>G19+G20+G21+G22+G23</f>
        <v>2202.64</v>
      </c>
      <c r="H18" s="194">
        <f>H19+H20+H21+H22+H23</f>
        <v>2130.6</v>
      </c>
      <c r="I18" s="194">
        <f>I19+I20+I21+I22+I23</f>
        <v>2130.6</v>
      </c>
    </row>
    <row r="19" spans="1:9" s="5" customFormat="1" ht="66" customHeight="1">
      <c r="A19" s="2"/>
      <c r="B19" s="25" t="s">
        <v>260</v>
      </c>
      <c r="C19" s="16" t="s">
        <v>6</v>
      </c>
      <c r="D19" s="16" t="s">
        <v>7</v>
      </c>
      <c r="E19" s="149" t="s">
        <v>232</v>
      </c>
      <c r="F19" s="17" t="s">
        <v>23</v>
      </c>
      <c r="G19" s="194">
        <f>1492.5+79.25-47.39</f>
        <v>1524.36</v>
      </c>
      <c r="H19" s="195">
        <v>1492.5</v>
      </c>
      <c r="I19" s="195">
        <v>1492.5</v>
      </c>
    </row>
    <row r="20" spans="1:9" s="5" customFormat="1" ht="62.25" customHeight="1">
      <c r="A20" s="2"/>
      <c r="B20" s="25" t="s">
        <v>264</v>
      </c>
      <c r="C20" s="16" t="s">
        <v>6</v>
      </c>
      <c r="D20" s="16" t="s">
        <v>7</v>
      </c>
      <c r="E20" s="149" t="s">
        <v>232</v>
      </c>
      <c r="F20" s="17" t="s">
        <v>24</v>
      </c>
      <c r="G20" s="194">
        <f>18+8-0.65-1+31.27</f>
        <v>55.620000000000005</v>
      </c>
      <c r="H20" s="195">
        <v>18</v>
      </c>
      <c r="I20" s="195">
        <v>18</v>
      </c>
    </row>
    <row r="21" spans="1:9" s="5" customFormat="1" ht="84.75" customHeight="1">
      <c r="A21" s="2"/>
      <c r="B21" s="25" t="s">
        <v>263</v>
      </c>
      <c r="C21" s="16" t="s">
        <v>6</v>
      </c>
      <c r="D21" s="16" t="s">
        <v>7</v>
      </c>
      <c r="E21" s="149" t="s">
        <v>232</v>
      </c>
      <c r="F21" s="17" t="s">
        <v>140</v>
      </c>
      <c r="G21" s="194">
        <f>447.1+23.94-17.35</f>
        <v>453.69</v>
      </c>
      <c r="H21" s="195">
        <v>447.1</v>
      </c>
      <c r="I21" s="195">
        <v>447.1</v>
      </c>
    </row>
    <row r="22" spans="1:9" s="5" customFormat="1" ht="63.75" customHeight="1">
      <c r="A22" s="2"/>
      <c r="B22" s="25" t="s">
        <v>261</v>
      </c>
      <c r="C22" s="16" t="s">
        <v>6</v>
      </c>
      <c r="D22" s="16" t="s">
        <v>7</v>
      </c>
      <c r="E22" s="149" t="s">
        <v>232</v>
      </c>
      <c r="F22" s="17" t="s">
        <v>25</v>
      </c>
      <c r="G22" s="194">
        <f>152+16</f>
        <v>168</v>
      </c>
      <c r="H22" s="195">
        <v>172</v>
      </c>
      <c r="I22" s="195">
        <v>172</v>
      </c>
    </row>
    <row r="23" spans="1:9" s="5" customFormat="1" ht="54.75" customHeight="1">
      <c r="A23" s="2"/>
      <c r="B23" s="25" t="s">
        <v>262</v>
      </c>
      <c r="C23" s="16" t="s">
        <v>6</v>
      </c>
      <c r="D23" s="16" t="s">
        <v>7</v>
      </c>
      <c r="E23" s="149" t="s">
        <v>232</v>
      </c>
      <c r="F23" s="17" t="s">
        <v>142</v>
      </c>
      <c r="G23" s="194">
        <f>1-0.03</f>
        <v>0.97</v>
      </c>
      <c r="H23" s="194">
        <v>1</v>
      </c>
      <c r="I23" s="194">
        <v>1</v>
      </c>
    </row>
    <row r="24" spans="1:9" s="5" customFormat="1" ht="86.25" customHeight="1">
      <c r="A24" s="2"/>
      <c r="B24" s="25" t="s">
        <v>202</v>
      </c>
      <c r="C24" s="16" t="s">
        <v>6</v>
      </c>
      <c r="D24" s="16" t="s">
        <v>7</v>
      </c>
      <c r="E24" s="149" t="s">
        <v>233</v>
      </c>
      <c r="F24" s="17" t="s">
        <v>25</v>
      </c>
      <c r="G24" s="194">
        <v>2</v>
      </c>
      <c r="H24" s="197">
        <v>2</v>
      </c>
      <c r="I24" s="197">
        <v>2</v>
      </c>
    </row>
    <row r="25" spans="1:9" s="5" customFormat="1" ht="62.25" customHeight="1">
      <c r="A25" s="2"/>
      <c r="B25" s="25" t="s">
        <v>364</v>
      </c>
      <c r="C25" s="16" t="s">
        <v>6</v>
      </c>
      <c r="D25" s="16" t="s">
        <v>7</v>
      </c>
      <c r="E25" s="149" t="s">
        <v>361</v>
      </c>
      <c r="F25" s="17" t="s">
        <v>23</v>
      </c>
      <c r="G25" s="194">
        <v>27.47</v>
      </c>
      <c r="H25" s="195"/>
      <c r="I25" s="195"/>
    </row>
    <row r="26" spans="1:9" s="5" customFormat="1" ht="99" customHeight="1">
      <c r="A26" s="2"/>
      <c r="B26" s="25" t="s">
        <v>365</v>
      </c>
      <c r="C26" s="16" t="s">
        <v>6</v>
      </c>
      <c r="D26" s="16" t="s">
        <v>7</v>
      </c>
      <c r="E26" s="149" t="s">
        <v>361</v>
      </c>
      <c r="F26" s="17" t="s">
        <v>140</v>
      </c>
      <c r="G26" s="194">
        <v>8.3</v>
      </c>
      <c r="H26" s="195"/>
      <c r="I26" s="195"/>
    </row>
    <row r="27" spans="1:9" s="5" customFormat="1" ht="52.5" customHeight="1">
      <c r="A27" s="3" t="s">
        <v>143</v>
      </c>
      <c r="B27" s="56" t="s">
        <v>174</v>
      </c>
      <c r="C27" s="68" t="s">
        <v>6</v>
      </c>
      <c r="D27" s="68" t="s">
        <v>61</v>
      </c>
      <c r="E27" s="149"/>
      <c r="F27" s="17"/>
      <c r="G27" s="193">
        <f>G31</f>
        <v>0</v>
      </c>
      <c r="H27" s="193">
        <f>H31</f>
        <v>0</v>
      </c>
      <c r="I27" s="193">
        <f>I31</f>
        <v>0</v>
      </c>
    </row>
    <row r="28" spans="1:9" s="5" customFormat="1" ht="27.75" customHeight="1">
      <c r="A28" s="3"/>
      <c r="B28" s="163" t="s">
        <v>203</v>
      </c>
      <c r="C28" s="150" t="s">
        <v>6</v>
      </c>
      <c r="D28" s="150" t="s">
        <v>61</v>
      </c>
      <c r="E28" s="149" t="s">
        <v>12</v>
      </c>
      <c r="F28" s="17"/>
      <c r="G28" s="196">
        <f>G29</f>
        <v>0</v>
      </c>
      <c r="H28" s="196">
        <f aca="true" t="shared" si="0" ref="H28:I30">H29</f>
        <v>0</v>
      </c>
      <c r="I28" s="196">
        <f t="shared" si="0"/>
        <v>0</v>
      </c>
    </row>
    <row r="29" spans="1:9" s="5" customFormat="1" ht="18.75" customHeight="1">
      <c r="A29" s="3"/>
      <c r="B29" s="162" t="s">
        <v>277</v>
      </c>
      <c r="C29" s="150" t="s">
        <v>6</v>
      </c>
      <c r="D29" s="150" t="s">
        <v>61</v>
      </c>
      <c r="E29" s="149" t="s">
        <v>275</v>
      </c>
      <c r="F29" s="17"/>
      <c r="G29" s="196">
        <f>G30</f>
        <v>0</v>
      </c>
      <c r="H29" s="196">
        <f t="shared" si="0"/>
        <v>0</v>
      </c>
      <c r="I29" s="196">
        <f t="shared" si="0"/>
        <v>0</v>
      </c>
    </row>
    <row r="30" spans="1:9" s="5" customFormat="1" ht="50.25" customHeight="1">
      <c r="A30" s="2"/>
      <c r="B30" s="25" t="s">
        <v>206</v>
      </c>
      <c r="C30" s="16" t="s">
        <v>6</v>
      </c>
      <c r="D30" s="16" t="s">
        <v>61</v>
      </c>
      <c r="E30" s="149" t="s">
        <v>276</v>
      </c>
      <c r="F30" s="17"/>
      <c r="G30" s="194">
        <f>G31</f>
        <v>0</v>
      </c>
      <c r="H30" s="194">
        <f t="shared" si="0"/>
        <v>0</v>
      </c>
      <c r="I30" s="194">
        <f t="shared" si="0"/>
        <v>0</v>
      </c>
    </row>
    <row r="31" spans="1:9" s="5" customFormat="1" ht="22.5" customHeight="1">
      <c r="A31" s="2"/>
      <c r="B31" s="25" t="s">
        <v>175</v>
      </c>
      <c r="C31" s="16" t="s">
        <v>6</v>
      </c>
      <c r="D31" s="16" t="s">
        <v>61</v>
      </c>
      <c r="E31" s="149" t="s">
        <v>276</v>
      </c>
      <c r="F31" s="151" t="s">
        <v>119</v>
      </c>
      <c r="G31" s="194">
        <v>0</v>
      </c>
      <c r="H31" s="195">
        <v>0</v>
      </c>
      <c r="I31" s="195">
        <v>0</v>
      </c>
    </row>
    <row r="32" spans="1:9" s="5" customFormat="1" ht="30.75" customHeight="1">
      <c r="A32" s="2" t="s">
        <v>144</v>
      </c>
      <c r="B32" s="56" t="s">
        <v>338</v>
      </c>
      <c r="C32" s="209" t="s">
        <v>6</v>
      </c>
      <c r="D32" s="209" t="s">
        <v>141</v>
      </c>
      <c r="E32" s="210"/>
      <c r="F32" s="211"/>
      <c r="G32" s="212">
        <f>G33</f>
        <v>695.7199999999999</v>
      </c>
      <c r="H32" s="213"/>
      <c r="I32" s="213"/>
    </row>
    <row r="33" spans="1:9" s="5" customFormat="1" ht="22.5" customHeight="1">
      <c r="A33" s="2"/>
      <c r="B33" s="25" t="s">
        <v>339</v>
      </c>
      <c r="C33" s="16" t="s">
        <v>6</v>
      </c>
      <c r="D33" s="16" t="s">
        <v>141</v>
      </c>
      <c r="E33" s="149" t="s">
        <v>340</v>
      </c>
      <c r="F33" s="151"/>
      <c r="G33" s="194">
        <f>G34</f>
        <v>695.7199999999999</v>
      </c>
      <c r="H33" s="195"/>
      <c r="I33" s="195"/>
    </row>
    <row r="34" spans="1:9" s="5" customFormat="1" ht="39.75" customHeight="1">
      <c r="A34" s="2"/>
      <c r="B34" s="25" t="s">
        <v>341</v>
      </c>
      <c r="C34" s="16" t="s">
        <v>6</v>
      </c>
      <c r="D34" s="16" t="s">
        <v>141</v>
      </c>
      <c r="E34" s="149" t="s">
        <v>340</v>
      </c>
      <c r="F34" s="151" t="s">
        <v>354</v>
      </c>
      <c r="G34" s="194">
        <f>410+286.05-0.33</f>
        <v>695.7199999999999</v>
      </c>
      <c r="H34" s="195"/>
      <c r="I34" s="195"/>
    </row>
    <row r="35" spans="1:9" s="5" customFormat="1" ht="44.25" customHeight="1">
      <c r="A35" s="26" t="s">
        <v>145</v>
      </c>
      <c r="B35" s="56" t="s">
        <v>207</v>
      </c>
      <c r="C35" s="68" t="s">
        <v>6</v>
      </c>
      <c r="D35" s="68" t="s">
        <v>10</v>
      </c>
      <c r="E35" s="149"/>
      <c r="F35" s="17"/>
      <c r="G35" s="193">
        <f>G38</f>
        <v>30</v>
      </c>
      <c r="H35" s="193">
        <f>H38</f>
        <v>30</v>
      </c>
      <c r="I35" s="193">
        <f>I38</f>
        <v>30</v>
      </c>
    </row>
    <row r="36" spans="1:9" s="5" customFormat="1" ht="24" customHeight="1">
      <c r="A36" s="3"/>
      <c r="B36" s="163" t="s">
        <v>203</v>
      </c>
      <c r="C36" s="150" t="s">
        <v>6</v>
      </c>
      <c r="D36" s="150" t="s">
        <v>10</v>
      </c>
      <c r="E36" s="149" t="s">
        <v>12</v>
      </c>
      <c r="F36" s="17"/>
      <c r="G36" s="196">
        <f aca="true" t="shared" si="1" ref="G36:I37">G37</f>
        <v>30</v>
      </c>
      <c r="H36" s="196">
        <f t="shared" si="1"/>
        <v>30</v>
      </c>
      <c r="I36" s="196">
        <f t="shared" si="1"/>
        <v>30</v>
      </c>
    </row>
    <row r="37" spans="1:9" s="5" customFormat="1" ht="24" customHeight="1">
      <c r="A37" s="3"/>
      <c r="B37" s="162" t="s">
        <v>226</v>
      </c>
      <c r="C37" s="150" t="s">
        <v>6</v>
      </c>
      <c r="D37" s="150" t="s">
        <v>10</v>
      </c>
      <c r="E37" s="149" t="s">
        <v>273</v>
      </c>
      <c r="F37" s="17"/>
      <c r="G37" s="196">
        <f t="shared" si="1"/>
        <v>30</v>
      </c>
      <c r="H37" s="196">
        <f t="shared" si="1"/>
        <v>30</v>
      </c>
      <c r="I37" s="196">
        <f t="shared" si="1"/>
        <v>30</v>
      </c>
    </row>
    <row r="38" spans="1:9" s="5" customFormat="1" ht="32.25" customHeight="1">
      <c r="A38" s="26"/>
      <c r="B38" s="25" t="s">
        <v>208</v>
      </c>
      <c r="C38" s="16" t="s">
        <v>6</v>
      </c>
      <c r="D38" s="16" t="s">
        <v>10</v>
      </c>
      <c r="E38" s="149" t="s">
        <v>274</v>
      </c>
      <c r="F38" s="17" t="s">
        <v>139</v>
      </c>
      <c r="G38" s="194">
        <v>30</v>
      </c>
      <c r="H38" s="197">
        <v>30</v>
      </c>
      <c r="I38" s="197">
        <v>30</v>
      </c>
    </row>
    <row r="39" spans="1:9" s="5" customFormat="1" ht="27.75" customHeight="1">
      <c r="A39" s="26" t="s">
        <v>146</v>
      </c>
      <c r="B39" s="56" t="s">
        <v>128</v>
      </c>
      <c r="C39" s="68" t="s">
        <v>6</v>
      </c>
      <c r="D39" s="68" t="s">
        <v>129</v>
      </c>
      <c r="E39" s="149"/>
      <c r="F39" s="17"/>
      <c r="G39" s="193">
        <f>G43+G44+G45+G48+G42+G46+G47</f>
        <v>2090.0299999999997</v>
      </c>
      <c r="H39" s="193">
        <f>H43+H44+H45+H48+H42+H46+H47</f>
        <v>1389.4</v>
      </c>
      <c r="I39" s="193">
        <f>I43+I44+I45+I48+I42+I46+I47</f>
        <v>1389.4</v>
      </c>
    </row>
    <row r="40" spans="1:9" s="5" customFormat="1" ht="27" customHeight="1">
      <c r="A40" s="3"/>
      <c r="B40" s="163" t="s">
        <v>203</v>
      </c>
      <c r="C40" s="150" t="s">
        <v>6</v>
      </c>
      <c r="D40" s="150" t="s">
        <v>129</v>
      </c>
      <c r="E40" s="149" t="s">
        <v>12</v>
      </c>
      <c r="F40" s="17"/>
      <c r="G40" s="196">
        <f>G41</f>
        <v>2090.0299999999997</v>
      </c>
      <c r="H40" s="196">
        <f>H41</f>
        <v>1389.4</v>
      </c>
      <c r="I40" s="196">
        <f>I41</f>
        <v>1389.4</v>
      </c>
    </row>
    <row r="41" spans="1:9" s="5" customFormat="1" ht="27" customHeight="1">
      <c r="A41" s="3"/>
      <c r="B41" s="164" t="s">
        <v>227</v>
      </c>
      <c r="C41" s="150" t="s">
        <v>6</v>
      </c>
      <c r="D41" s="150" t="s">
        <v>129</v>
      </c>
      <c r="E41" s="149" t="s">
        <v>235</v>
      </c>
      <c r="F41" s="17"/>
      <c r="G41" s="196">
        <f>G43+G44+G45+G48+G42+G46+G47</f>
        <v>2090.0299999999997</v>
      </c>
      <c r="H41" s="196">
        <f>H43+H44+H45+H48+H42+H46+H47</f>
        <v>1389.4</v>
      </c>
      <c r="I41" s="196">
        <f>I43+I44+I45+I48+I42+I46+I47</f>
        <v>1389.4</v>
      </c>
    </row>
    <row r="42" spans="1:9" s="5" customFormat="1" ht="77.25" customHeight="1">
      <c r="A42" s="26"/>
      <c r="B42" s="25" t="s">
        <v>220</v>
      </c>
      <c r="C42" s="16" t="s">
        <v>6</v>
      </c>
      <c r="D42" s="16" t="s">
        <v>129</v>
      </c>
      <c r="E42" s="149" t="s">
        <v>237</v>
      </c>
      <c r="F42" s="17" t="s">
        <v>25</v>
      </c>
      <c r="G42" s="194">
        <f>604-20.12+20.12+1000-425.86-219.35+100-31.27</f>
        <v>1027.52</v>
      </c>
      <c r="H42" s="195">
        <v>666.4</v>
      </c>
      <c r="I42" s="195">
        <v>666.4</v>
      </c>
    </row>
    <row r="43" spans="1:9" s="5" customFormat="1" ht="77.25" customHeight="1">
      <c r="A43" s="26"/>
      <c r="B43" s="25" t="s">
        <v>284</v>
      </c>
      <c r="C43" s="16" t="s">
        <v>6</v>
      </c>
      <c r="D43" s="16" t="s">
        <v>129</v>
      </c>
      <c r="E43" s="149" t="s">
        <v>237</v>
      </c>
      <c r="F43" s="17" t="s">
        <v>283</v>
      </c>
      <c r="G43" s="194">
        <f>458+16-25.77</f>
        <v>448.23</v>
      </c>
      <c r="H43" s="195">
        <v>458</v>
      </c>
      <c r="I43" s="195">
        <v>458</v>
      </c>
    </row>
    <row r="44" spans="1:9" s="5" customFormat="1" ht="62.25" customHeight="1">
      <c r="A44" s="26"/>
      <c r="B44" s="25" t="s">
        <v>217</v>
      </c>
      <c r="C44" s="16" t="s">
        <v>6</v>
      </c>
      <c r="D44" s="16" t="s">
        <v>129</v>
      </c>
      <c r="E44" s="149" t="s">
        <v>237</v>
      </c>
      <c r="F44" s="17" t="s">
        <v>26</v>
      </c>
      <c r="G44" s="194">
        <f>5+15-8.33</f>
        <v>11.67</v>
      </c>
      <c r="H44" s="195">
        <v>5</v>
      </c>
      <c r="I44" s="195">
        <v>5</v>
      </c>
    </row>
    <row r="45" spans="1:9" s="5" customFormat="1" ht="62.25" customHeight="1">
      <c r="A45" s="26"/>
      <c r="B45" s="25" t="s">
        <v>285</v>
      </c>
      <c r="C45" s="16" t="s">
        <v>6</v>
      </c>
      <c r="D45" s="16" t="s">
        <v>129</v>
      </c>
      <c r="E45" s="149" t="s">
        <v>237</v>
      </c>
      <c r="F45" s="17" t="s">
        <v>27</v>
      </c>
      <c r="G45" s="194">
        <f>15-4.62</f>
        <v>10.379999999999999</v>
      </c>
      <c r="H45" s="195">
        <v>15</v>
      </c>
      <c r="I45" s="195">
        <v>15</v>
      </c>
    </row>
    <row r="46" spans="1:9" s="5" customFormat="1" ht="54" customHeight="1">
      <c r="A46" s="26"/>
      <c r="B46" s="25" t="s">
        <v>216</v>
      </c>
      <c r="C46" s="16" t="s">
        <v>6</v>
      </c>
      <c r="D46" s="16" t="s">
        <v>129</v>
      </c>
      <c r="E46" s="149" t="s">
        <v>237</v>
      </c>
      <c r="F46" s="17" t="s">
        <v>142</v>
      </c>
      <c r="G46" s="194">
        <f>5-3+1.03</f>
        <v>3.0300000000000002</v>
      </c>
      <c r="H46" s="195">
        <v>5</v>
      </c>
      <c r="I46" s="195">
        <v>5</v>
      </c>
    </row>
    <row r="47" spans="1:9" s="5" customFormat="1" ht="23.25" customHeight="1">
      <c r="A47" s="26"/>
      <c r="B47" s="25" t="s">
        <v>188</v>
      </c>
      <c r="C47" s="16" t="s">
        <v>6</v>
      </c>
      <c r="D47" s="16" t="s">
        <v>129</v>
      </c>
      <c r="E47" s="149" t="s">
        <v>236</v>
      </c>
      <c r="F47" s="17" t="s">
        <v>25</v>
      </c>
      <c r="G47" s="194">
        <v>556.8</v>
      </c>
      <c r="H47" s="194">
        <v>240</v>
      </c>
      <c r="I47" s="194">
        <v>240</v>
      </c>
    </row>
    <row r="48" spans="1:9" s="5" customFormat="1" ht="52.5" customHeight="1">
      <c r="A48" s="26"/>
      <c r="B48" s="25" t="s">
        <v>366</v>
      </c>
      <c r="C48" s="16" t="s">
        <v>6</v>
      </c>
      <c r="D48" s="16" t="s">
        <v>129</v>
      </c>
      <c r="E48" s="149" t="s">
        <v>367</v>
      </c>
      <c r="F48" s="17" t="s">
        <v>25</v>
      </c>
      <c r="G48" s="194">
        <v>32.4</v>
      </c>
      <c r="H48" s="195"/>
      <c r="I48" s="195"/>
    </row>
    <row r="49" spans="1:9" s="5" customFormat="1" ht="24" customHeight="1">
      <c r="A49" s="74">
        <v>2</v>
      </c>
      <c r="B49" s="71" t="s">
        <v>28</v>
      </c>
      <c r="C49" s="73" t="s">
        <v>12</v>
      </c>
      <c r="D49" s="73"/>
      <c r="E49" s="152"/>
      <c r="F49" s="156"/>
      <c r="G49" s="198">
        <f>G54+G55+G56+G57</f>
        <v>463.1</v>
      </c>
      <c r="H49" s="198">
        <f>H54+H55+H56+H57</f>
        <v>459.1</v>
      </c>
      <c r="I49" s="198">
        <f>I54+I55+I56+I57</f>
        <v>476.6</v>
      </c>
    </row>
    <row r="50" spans="1:9" s="165" customFormat="1" ht="24.75" customHeight="1">
      <c r="A50" s="26" t="s">
        <v>33</v>
      </c>
      <c r="B50" s="25" t="s">
        <v>29</v>
      </c>
      <c r="C50" s="16" t="s">
        <v>12</v>
      </c>
      <c r="D50" s="16" t="s">
        <v>16</v>
      </c>
      <c r="E50" s="149"/>
      <c r="F50" s="17"/>
      <c r="G50" s="194">
        <f>G51</f>
        <v>463.1</v>
      </c>
      <c r="H50" s="194">
        <f aca="true" t="shared" si="2" ref="H50:I52">H51</f>
        <v>459.1</v>
      </c>
      <c r="I50" s="194">
        <f t="shared" si="2"/>
        <v>476.6</v>
      </c>
    </row>
    <row r="51" spans="1:9" s="165" customFormat="1" ht="23.25" customHeight="1">
      <c r="A51" s="3"/>
      <c r="B51" s="163" t="s">
        <v>203</v>
      </c>
      <c r="C51" s="150" t="s">
        <v>12</v>
      </c>
      <c r="D51" s="150" t="s">
        <v>16</v>
      </c>
      <c r="E51" s="149" t="s">
        <v>12</v>
      </c>
      <c r="F51" s="17"/>
      <c r="G51" s="196">
        <f>G52</f>
        <v>463.1</v>
      </c>
      <c r="H51" s="196">
        <f t="shared" si="2"/>
        <v>459.1</v>
      </c>
      <c r="I51" s="196">
        <f t="shared" si="2"/>
        <v>476.6</v>
      </c>
    </row>
    <row r="52" spans="1:9" s="5" customFormat="1" ht="41.25" customHeight="1">
      <c r="A52" s="3"/>
      <c r="B52" s="164" t="s">
        <v>30</v>
      </c>
      <c r="C52" s="150" t="s">
        <v>12</v>
      </c>
      <c r="D52" s="150" t="s">
        <v>16</v>
      </c>
      <c r="E52" s="149" t="s">
        <v>238</v>
      </c>
      <c r="F52" s="17"/>
      <c r="G52" s="196">
        <f>G53</f>
        <v>463.1</v>
      </c>
      <c r="H52" s="196">
        <f t="shared" si="2"/>
        <v>459.1</v>
      </c>
      <c r="I52" s="196">
        <f t="shared" si="2"/>
        <v>476.6</v>
      </c>
    </row>
    <row r="53" spans="1:9" s="5" customFormat="1" ht="51" customHeight="1">
      <c r="A53" s="18"/>
      <c r="B53" s="25" t="s">
        <v>204</v>
      </c>
      <c r="C53" s="16" t="s">
        <v>12</v>
      </c>
      <c r="D53" s="16" t="s">
        <v>16</v>
      </c>
      <c r="E53" s="149" t="s">
        <v>239</v>
      </c>
      <c r="F53" s="17"/>
      <c r="G53" s="194">
        <f>G54+G55+G56+G57</f>
        <v>463.1</v>
      </c>
      <c r="H53" s="194">
        <f>H54+H55+H56+H57</f>
        <v>459.1</v>
      </c>
      <c r="I53" s="194">
        <f>I54+I55+I56+I57</f>
        <v>476.6</v>
      </c>
    </row>
    <row r="54" spans="1:9" s="5" customFormat="1" ht="77.25" customHeight="1">
      <c r="A54" s="18"/>
      <c r="B54" s="25" t="s">
        <v>209</v>
      </c>
      <c r="C54" s="16" t="s">
        <v>12</v>
      </c>
      <c r="D54" s="16" t="s">
        <v>16</v>
      </c>
      <c r="E54" s="149" t="s">
        <v>239</v>
      </c>
      <c r="F54" s="17" t="s">
        <v>23</v>
      </c>
      <c r="G54" s="194">
        <f>336.2-1.26</f>
        <v>334.94</v>
      </c>
      <c r="H54" s="195">
        <v>349.6</v>
      </c>
      <c r="I54" s="195">
        <v>363.6</v>
      </c>
    </row>
    <row r="55" spans="1:9" s="5" customFormat="1" ht="87.75" customHeight="1">
      <c r="A55" s="18"/>
      <c r="B55" s="25" t="s">
        <v>210</v>
      </c>
      <c r="C55" s="16" t="s">
        <v>12</v>
      </c>
      <c r="D55" s="16" t="s">
        <v>16</v>
      </c>
      <c r="E55" s="149" t="s">
        <v>239</v>
      </c>
      <c r="F55" s="17" t="s">
        <v>24</v>
      </c>
      <c r="G55" s="194">
        <f>4.6-1.075+4+1.075</f>
        <v>8.6</v>
      </c>
      <c r="H55" s="195">
        <v>4</v>
      </c>
      <c r="I55" s="195">
        <v>3.2</v>
      </c>
    </row>
    <row r="56" spans="1:9" s="5" customFormat="1" ht="98.25" customHeight="1">
      <c r="A56" s="18"/>
      <c r="B56" s="25" t="s">
        <v>211</v>
      </c>
      <c r="C56" s="16" t="s">
        <v>12</v>
      </c>
      <c r="D56" s="16" t="s">
        <v>16</v>
      </c>
      <c r="E56" s="149" t="s">
        <v>239</v>
      </c>
      <c r="F56" s="17" t="s">
        <v>140</v>
      </c>
      <c r="G56" s="194">
        <f>101.5-2.54-1</f>
        <v>97.96</v>
      </c>
      <c r="H56" s="195">
        <v>105.5</v>
      </c>
      <c r="I56" s="195">
        <v>109.8</v>
      </c>
    </row>
    <row r="57" spans="1:9" s="5" customFormat="1" ht="87.75" customHeight="1">
      <c r="A57" s="18"/>
      <c r="B57" s="25" t="s">
        <v>221</v>
      </c>
      <c r="C57" s="16" t="s">
        <v>12</v>
      </c>
      <c r="D57" s="16" t="s">
        <v>16</v>
      </c>
      <c r="E57" s="149" t="s">
        <v>239</v>
      </c>
      <c r="F57" s="17" t="s">
        <v>25</v>
      </c>
      <c r="G57" s="194">
        <f>1.075-0.275+20.8</f>
        <v>21.6</v>
      </c>
      <c r="H57" s="195"/>
      <c r="I57" s="195"/>
    </row>
    <row r="58" spans="1:9" s="5" customFormat="1" ht="36" customHeight="1">
      <c r="A58" s="74">
        <v>3</v>
      </c>
      <c r="B58" s="71" t="s">
        <v>18</v>
      </c>
      <c r="C58" s="73" t="s">
        <v>16</v>
      </c>
      <c r="D58" s="73"/>
      <c r="E58" s="152"/>
      <c r="F58" s="156"/>
      <c r="G58" s="198">
        <f>G63</f>
        <v>24</v>
      </c>
      <c r="H58" s="198">
        <f>H63</f>
        <v>24</v>
      </c>
      <c r="I58" s="198">
        <f>I63</f>
        <v>24</v>
      </c>
    </row>
    <row r="59" spans="1:9" s="5" customFormat="1" ht="57.75" customHeight="1">
      <c r="A59" s="26" t="s">
        <v>34</v>
      </c>
      <c r="B59" s="176" t="s">
        <v>320</v>
      </c>
      <c r="C59" s="16" t="s">
        <v>31</v>
      </c>
      <c r="D59" s="16" t="s">
        <v>14</v>
      </c>
      <c r="E59" s="149"/>
      <c r="F59" s="17"/>
      <c r="G59" s="194">
        <f>G60</f>
        <v>24</v>
      </c>
      <c r="H59" s="194">
        <f aca="true" t="shared" si="3" ref="H59:I62">H60</f>
        <v>24</v>
      </c>
      <c r="I59" s="194">
        <f t="shared" si="3"/>
        <v>24</v>
      </c>
    </row>
    <row r="60" spans="1:9" s="5" customFormat="1" ht="27" customHeight="1">
      <c r="A60" s="3"/>
      <c r="B60" s="163" t="s">
        <v>203</v>
      </c>
      <c r="C60" s="150" t="s">
        <v>16</v>
      </c>
      <c r="D60" s="150" t="s">
        <v>14</v>
      </c>
      <c r="E60" s="149" t="s">
        <v>12</v>
      </c>
      <c r="F60" s="17"/>
      <c r="G60" s="196">
        <f>G61</f>
        <v>24</v>
      </c>
      <c r="H60" s="196">
        <f t="shared" si="3"/>
        <v>24</v>
      </c>
      <c r="I60" s="196">
        <f t="shared" si="3"/>
        <v>24</v>
      </c>
    </row>
    <row r="61" spans="1:9" s="5" customFormat="1" ht="27" customHeight="1">
      <c r="A61" s="3"/>
      <c r="B61" s="5" t="s">
        <v>281</v>
      </c>
      <c r="C61" s="150" t="s">
        <v>16</v>
      </c>
      <c r="D61" s="150" t="s">
        <v>14</v>
      </c>
      <c r="E61" s="149" t="s">
        <v>240</v>
      </c>
      <c r="F61" s="17"/>
      <c r="G61" s="196">
        <f>G62</f>
        <v>24</v>
      </c>
      <c r="H61" s="196">
        <f t="shared" si="3"/>
        <v>24</v>
      </c>
      <c r="I61" s="196">
        <f t="shared" si="3"/>
        <v>24</v>
      </c>
    </row>
    <row r="62" spans="1:9" s="5" customFormat="1" ht="40.5" customHeight="1">
      <c r="A62" s="18"/>
      <c r="B62" s="25" t="s">
        <v>212</v>
      </c>
      <c r="C62" s="16" t="s">
        <v>31</v>
      </c>
      <c r="D62" s="16" t="s">
        <v>14</v>
      </c>
      <c r="E62" s="149" t="s">
        <v>318</v>
      </c>
      <c r="F62" s="17"/>
      <c r="G62" s="194">
        <f>G63</f>
        <v>24</v>
      </c>
      <c r="H62" s="194">
        <f t="shared" si="3"/>
        <v>24</v>
      </c>
      <c r="I62" s="194">
        <f t="shared" si="3"/>
        <v>24</v>
      </c>
    </row>
    <row r="63" spans="1:9" s="5" customFormat="1" ht="63.75" customHeight="1">
      <c r="A63" s="18"/>
      <c r="B63" s="25" t="s">
        <v>222</v>
      </c>
      <c r="C63" s="16" t="s">
        <v>31</v>
      </c>
      <c r="D63" s="16" t="s">
        <v>14</v>
      </c>
      <c r="E63" s="149" t="s">
        <v>318</v>
      </c>
      <c r="F63" s="17" t="s">
        <v>25</v>
      </c>
      <c r="G63" s="194">
        <v>24</v>
      </c>
      <c r="H63" s="195">
        <v>24</v>
      </c>
      <c r="I63" s="195">
        <v>24</v>
      </c>
    </row>
    <row r="64" spans="1:9" s="5" customFormat="1" ht="25.5" customHeight="1">
      <c r="A64" s="74">
        <v>4</v>
      </c>
      <c r="B64" s="71" t="s">
        <v>8</v>
      </c>
      <c r="C64" s="73" t="s">
        <v>7</v>
      </c>
      <c r="D64" s="73"/>
      <c r="E64" s="152"/>
      <c r="F64" s="156"/>
      <c r="G64" s="199">
        <f>G69</f>
        <v>1180.22</v>
      </c>
      <c r="H64" s="199">
        <f>H69</f>
        <v>1231.42</v>
      </c>
      <c r="I64" s="199">
        <f>I69</f>
        <v>1341.8</v>
      </c>
    </row>
    <row r="65" spans="1:9" s="5" customFormat="1" ht="27" customHeight="1">
      <c r="A65" s="26" t="s">
        <v>35</v>
      </c>
      <c r="B65" s="25" t="s">
        <v>85</v>
      </c>
      <c r="C65" s="16" t="s">
        <v>7</v>
      </c>
      <c r="D65" s="16" t="s">
        <v>13</v>
      </c>
      <c r="E65" s="149"/>
      <c r="F65" s="17"/>
      <c r="G65" s="194">
        <f>G66</f>
        <v>1180.22</v>
      </c>
      <c r="H65" s="194">
        <f aca="true" t="shared" si="4" ref="H65:I67">H66</f>
        <v>1231.42</v>
      </c>
      <c r="I65" s="194">
        <f t="shared" si="4"/>
        <v>1341.8</v>
      </c>
    </row>
    <row r="66" spans="1:9" s="5" customFormat="1" ht="24.75" customHeight="1">
      <c r="A66" s="3"/>
      <c r="B66" s="163" t="s">
        <v>203</v>
      </c>
      <c r="C66" s="150" t="s">
        <v>7</v>
      </c>
      <c r="D66" s="150" t="s">
        <v>7</v>
      </c>
      <c r="E66" s="149" t="s">
        <v>12</v>
      </c>
      <c r="F66" s="17"/>
      <c r="G66" s="196">
        <f>G67</f>
        <v>1180.22</v>
      </c>
      <c r="H66" s="196">
        <f t="shared" si="4"/>
        <v>1231.42</v>
      </c>
      <c r="I66" s="196">
        <f t="shared" si="4"/>
        <v>1341.8</v>
      </c>
    </row>
    <row r="67" spans="1:9" s="5" customFormat="1" ht="25.5" customHeight="1">
      <c r="A67" s="3"/>
      <c r="B67" s="164" t="s">
        <v>265</v>
      </c>
      <c r="C67" s="150" t="s">
        <v>7</v>
      </c>
      <c r="D67" s="150" t="s">
        <v>7</v>
      </c>
      <c r="E67" s="149" t="s">
        <v>241</v>
      </c>
      <c r="F67" s="17"/>
      <c r="G67" s="196">
        <f>G68</f>
        <v>1180.22</v>
      </c>
      <c r="H67" s="196">
        <f t="shared" si="4"/>
        <v>1231.42</v>
      </c>
      <c r="I67" s="196">
        <f t="shared" si="4"/>
        <v>1341.8</v>
      </c>
    </row>
    <row r="68" spans="1:9" s="5" customFormat="1" ht="31.5" customHeight="1">
      <c r="A68" s="26"/>
      <c r="B68" s="25" t="s">
        <v>213</v>
      </c>
      <c r="C68" s="16" t="s">
        <v>7</v>
      </c>
      <c r="D68" s="16" t="s">
        <v>13</v>
      </c>
      <c r="E68" s="149" t="s">
        <v>242</v>
      </c>
      <c r="F68" s="17"/>
      <c r="G68" s="194">
        <f>G69</f>
        <v>1180.22</v>
      </c>
      <c r="H68" s="194">
        <f>H69</f>
        <v>1231.42</v>
      </c>
      <c r="I68" s="194">
        <f>I69</f>
        <v>1341.8</v>
      </c>
    </row>
    <row r="69" spans="1:9" s="5" customFormat="1" ht="51" customHeight="1">
      <c r="A69" s="26"/>
      <c r="B69" s="25" t="s">
        <v>223</v>
      </c>
      <c r="C69" s="16" t="s">
        <v>7</v>
      </c>
      <c r="D69" s="16" t="s">
        <v>13</v>
      </c>
      <c r="E69" s="149" t="s">
        <v>242</v>
      </c>
      <c r="F69" s="17" t="s">
        <v>25</v>
      </c>
      <c r="G69" s="194">
        <v>1180.22</v>
      </c>
      <c r="H69" s="195">
        <v>1231.42</v>
      </c>
      <c r="I69" s="195">
        <v>1341.8</v>
      </c>
    </row>
    <row r="70" spans="1:9" s="5" customFormat="1" ht="33" customHeight="1">
      <c r="A70" s="75" t="s">
        <v>83</v>
      </c>
      <c r="B70" s="76" t="s">
        <v>1</v>
      </c>
      <c r="C70" s="73" t="s">
        <v>11</v>
      </c>
      <c r="D70" s="73"/>
      <c r="E70" s="153"/>
      <c r="F70" s="156"/>
      <c r="G70" s="199">
        <f>G71</f>
        <v>8053.34</v>
      </c>
      <c r="H70" s="199">
        <f>H71</f>
        <v>3442.3599999999997</v>
      </c>
      <c r="I70" s="199">
        <f>I71</f>
        <v>672.97</v>
      </c>
    </row>
    <row r="71" spans="1:9" s="5" customFormat="1" ht="25.5" customHeight="1">
      <c r="A71" s="26" t="s">
        <v>168</v>
      </c>
      <c r="B71" s="25" t="s">
        <v>19</v>
      </c>
      <c r="C71" s="16" t="s">
        <v>11</v>
      </c>
      <c r="D71" s="16" t="s">
        <v>16</v>
      </c>
      <c r="E71" s="148"/>
      <c r="F71" s="17"/>
      <c r="G71" s="194">
        <f>G72+G81</f>
        <v>8053.34</v>
      </c>
      <c r="H71" s="194">
        <f>H72+H81</f>
        <v>3442.3599999999997</v>
      </c>
      <c r="I71" s="194">
        <f>I72+I81</f>
        <v>672.97</v>
      </c>
    </row>
    <row r="72" spans="1:9" s="5" customFormat="1" ht="25.5" customHeight="1">
      <c r="A72" s="3"/>
      <c r="B72" s="163" t="s">
        <v>203</v>
      </c>
      <c r="C72" s="150" t="s">
        <v>11</v>
      </c>
      <c r="D72" s="150" t="s">
        <v>16</v>
      </c>
      <c r="E72" s="149" t="s">
        <v>12</v>
      </c>
      <c r="F72" s="17"/>
      <c r="G72" s="196">
        <f>G73</f>
        <v>7697.83</v>
      </c>
      <c r="H72" s="196">
        <f>H73</f>
        <v>3115.89</v>
      </c>
      <c r="I72" s="196">
        <f>I73</f>
        <v>672.97</v>
      </c>
    </row>
    <row r="73" spans="1:9" s="5" customFormat="1" ht="25.5" customHeight="1">
      <c r="A73" s="3"/>
      <c r="B73" s="164" t="s">
        <v>266</v>
      </c>
      <c r="C73" s="150" t="s">
        <v>11</v>
      </c>
      <c r="D73" s="150" t="s">
        <v>16</v>
      </c>
      <c r="E73" s="149" t="s">
        <v>243</v>
      </c>
      <c r="F73" s="17"/>
      <c r="G73" s="196">
        <f>G75+G76+G74+G78+G80+G77+G79</f>
        <v>7697.83</v>
      </c>
      <c r="H73" s="196">
        <f>H75+H76+H74+H78+H80+H77</f>
        <v>3115.89</v>
      </c>
      <c r="I73" s="196">
        <f>I75+I76+I74+I78+I80+I77</f>
        <v>672.97</v>
      </c>
    </row>
    <row r="74" spans="1:9" s="5" customFormat="1" ht="44.25" customHeight="1">
      <c r="A74" s="18"/>
      <c r="B74" s="25" t="s">
        <v>267</v>
      </c>
      <c r="C74" s="16" t="s">
        <v>11</v>
      </c>
      <c r="D74" s="16" t="s">
        <v>16</v>
      </c>
      <c r="E74" s="149" t="s">
        <v>244</v>
      </c>
      <c r="F74" s="17" t="s">
        <v>25</v>
      </c>
      <c r="G74" s="194">
        <f>184-8-133.1</f>
        <v>42.900000000000006</v>
      </c>
      <c r="H74" s="197">
        <v>284</v>
      </c>
      <c r="I74" s="197">
        <v>284</v>
      </c>
    </row>
    <row r="75" spans="1:9" s="5" customFormat="1" ht="41.25" customHeight="1">
      <c r="A75" s="18"/>
      <c r="B75" s="25" t="s">
        <v>282</v>
      </c>
      <c r="C75" s="16" t="s">
        <v>11</v>
      </c>
      <c r="D75" s="16" t="s">
        <v>16</v>
      </c>
      <c r="E75" s="149" t="s">
        <v>244</v>
      </c>
      <c r="F75" s="17" t="s">
        <v>283</v>
      </c>
      <c r="G75" s="194">
        <f>200+8+81-13.35</f>
        <v>275.65</v>
      </c>
      <c r="H75" s="197">
        <v>300</v>
      </c>
      <c r="I75" s="197">
        <v>300</v>
      </c>
    </row>
    <row r="76" spans="1:9" s="5" customFormat="1" ht="48.75">
      <c r="A76" s="26"/>
      <c r="B76" s="25" t="s">
        <v>224</v>
      </c>
      <c r="C76" s="16" t="s">
        <v>11</v>
      </c>
      <c r="D76" s="16" t="s">
        <v>16</v>
      </c>
      <c r="E76" s="149" t="s">
        <v>254</v>
      </c>
      <c r="F76" s="17" t="s">
        <v>25</v>
      </c>
      <c r="G76" s="251">
        <f>56.38+1693.65-300-17+224.01-575.33+300-14.8-15.98-0.12</f>
        <v>1350.8100000000002</v>
      </c>
      <c r="H76" s="202">
        <f>2781.89-250</f>
        <v>2531.89</v>
      </c>
      <c r="I76" s="200">
        <f>598.97-510</f>
        <v>88.97000000000003</v>
      </c>
    </row>
    <row r="77" spans="1:9" s="5" customFormat="1" ht="36" customHeight="1">
      <c r="A77" s="26"/>
      <c r="B77" s="56" t="s">
        <v>343</v>
      </c>
      <c r="C77" s="16" t="s">
        <v>11</v>
      </c>
      <c r="D77" s="16" t="s">
        <v>16</v>
      </c>
      <c r="E77" s="148" t="s">
        <v>345</v>
      </c>
      <c r="F77" s="17" t="s">
        <v>25</v>
      </c>
      <c r="G77" s="194">
        <f>1272.99-0.08</f>
        <v>1272.91</v>
      </c>
      <c r="H77" s="202"/>
      <c r="I77" s="200"/>
    </row>
    <row r="78" spans="1:9" s="5" customFormat="1" ht="41.25" customHeight="1">
      <c r="A78" s="26"/>
      <c r="B78" s="56" t="s">
        <v>343</v>
      </c>
      <c r="C78" s="16" t="s">
        <v>11</v>
      </c>
      <c r="D78" s="16" t="s">
        <v>16</v>
      </c>
      <c r="E78" s="148" t="s">
        <v>344</v>
      </c>
      <c r="F78" s="17" t="s">
        <v>25</v>
      </c>
      <c r="G78" s="251">
        <f>1909.21-0.12+0.12</f>
        <v>1909.21</v>
      </c>
      <c r="H78" s="197">
        <v>0</v>
      </c>
      <c r="I78" s="197">
        <v>0</v>
      </c>
    </row>
    <row r="79" spans="1:9" s="5" customFormat="1" ht="41.25" customHeight="1">
      <c r="A79" s="26"/>
      <c r="B79" s="25" t="s">
        <v>352</v>
      </c>
      <c r="C79" s="16" t="s">
        <v>11</v>
      </c>
      <c r="D79" s="16" t="s">
        <v>16</v>
      </c>
      <c r="E79" s="149" t="s">
        <v>353</v>
      </c>
      <c r="F79" s="17" t="s">
        <v>25</v>
      </c>
      <c r="G79" s="194">
        <f>8+255</f>
        <v>263</v>
      </c>
      <c r="H79" s="197"/>
      <c r="I79" s="197"/>
    </row>
    <row r="80" spans="1:9" s="5" customFormat="1" ht="61.5" customHeight="1">
      <c r="A80" s="26"/>
      <c r="B80" s="56" t="s">
        <v>327</v>
      </c>
      <c r="C80" s="16" t="s">
        <v>11</v>
      </c>
      <c r="D80" s="16" t="s">
        <v>16</v>
      </c>
      <c r="E80" s="148" t="s">
        <v>326</v>
      </c>
      <c r="F80" s="17" t="s">
        <v>25</v>
      </c>
      <c r="G80" s="194">
        <f>83.19+1200+1846.54-546.38</f>
        <v>2583.35</v>
      </c>
      <c r="H80" s="197">
        <v>0</v>
      </c>
      <c r="I80" s="197">
        <v>0</v>
      </c>
    </row>
    <row r="81" spans="1:9" s="5" customFormat="1" ht="70.5" customHeight="1">
      <c r="A81" s="3"/>
      <c r="B81" s="163" t="s">
        <v>312</v>
      </c>
      <c r="C81" s="150" t="s">
        <v>11</v>
      </c>
      <c r="D81" s="150" t="s">
        <v>16</v>
      </c>
      <c r="E81" s="149" t="s">
        <v>6</v>
      </c>
      <c r="F81" s="17"/>
      <c r="G81" s="196">
        <f>G82</f>
        <v>355.51</v>
      </c>
      <c r="H81" s="196">
        <f aca="true" t="shared" si="5" ref="H81:I83">H82</f>
        <v>326.47</v>
      </c>
      <c r="I81" s="196">
        <f t="shared" si="5"/>
        <v>0</v>
      </c>
    </row>
    <row r="82" spans="1:9" s="5" customFormat="1" ht="23.25" customHeight="1">
      <c r="A82" s="3"/>
      <c r="B82" s="166" t="s">
        <v>228</v>
      </c>
      <c r="C82" s="150" t="s">
        <v>11</v>
      </c>
      <c r="D82" s="150" t="s">
        <v>16</v>
      </c>
      <c r="E82" s="149" t="s">
        <v>218</v>
      </c>
      <c r="F82" s="17"/>
      <c r="G82" s="196">
        <f>G83</f>
        <v>355.51</v>
      </c>
      <c r="H82" s="196">
        <f t="shared" si="5"/>
        <v>326.47</v>
      </c>
      <c r="I82" s="196">
        <f t="shared" si="5"/>
        <v>0</v>
      </c>
    </row>
    <row r="83" spans="1:9" s="5" customFormat="1" ht="65.25" customHeight="1">
      <c r="A83" s="3"/>
      <c r="B83" s="203" t="s">
        <v>311</v>
      </c>
      <c r="C83" s="16" t="s">
        <v>11</v>
      </c>
      <c r="D83" s="16" t="s">
        <v>16</v>
      </c>
      <c r="E83" s="148" t="s">
        <v>225</v>
      </c>
      <c r="F83" s="17"/>
      <c r="G83" s="196">
        <f>G84</f>
        <v>355.51</v>
      </c>
      <c r="H83" s="196">
        <f t="shared" si="5"/>
        <v>326.47</v>
      </c>
      <c r="I83" s="196">
        <f t="shared" si="5"/>
        <v>0</v>
      </c>
    </row>
    <row r="84" spans="1:9" s="5" customFormat="1" ht="98.25" customHeight="1">
      <c r="A84" s="26"/>
      <c r="B84" s="25" t="s">
        <v>328</v>
      </c>
      <c r="C84" s="16" t="s">
        <v>11</v>
      </c>
      <c r="D84" s="16" t="s">
        <v>16</v>
      </c>
      <c r="E84" s="148" t="s">
        <v>214</v>
      </c>
      <c r="F84" s="17" t="s">
        <v>25</v>
      </c>
      <c r="G84" s="194">
        <f>339.53-4.14+20.12</f>
        <v>355.51</v>
      </c>
      <c r="H84" s="200">
        <v>326.47</v>
      </c>
      <c r="I84" s="200">
        <v>0</v>
      </c>
    </row>
    <row r="85" spans="1:9" s="5" customFormat="1" ht="29.25" customHeight="1">
      <c r="A85" s="75" t="s">
        <v>92</v>
      </c>
      <c r="B85" s="71" t="s">
        <v>165</v>
      </c>
      <c r="C85" s="73" t="s">
        <v>141</v>
      </c>
      <c r="D85" s="73"/>
      <c r="E85" s="153"/>
      <c r="F85" s="156"/>
      <c r="G85" s="199">
        <f>G89</f>
        <v>32</v>
      </c>
      <c r="H85" s="199">
        <f>H89</f>
        <v>15</v>
      </c>
      <c r="I85" s="199">
        <f>I89</f>
        <v>15</v>
      </c>
    </row>
    <row r="86" spans="1:9" s="5" customFormat="1" ht="29.25" customHeight="1">
      <c r="A86" s="26"/>
      <c r="B86" s="25" t="s">
        <v>169</v>
      </c>
      <c r="C86" s="16" t="s">
        <v>141</v>
      </c>
      <c r="D86" s="16" t="s">
        <v>141</v>
      </c>
      <c r="E86" s="148"/>
      <c r="F86" s="17"/>
      <c r="G86" s="194">
        <f>G87</f>
        <v>32</v>
      </c>
      <c r="H86" s="194">
        <f aca="true" t="shared" si="6" ref="H86:I88">H87</f>
        <v>15</v>
      </c>
      <c r="I86" s="194">
        <f t="shared" si="6"/>
        <v>15</v>
      </c>
    </row>
    <row r="87" spans="1:9" s="5" customFormat="1" ht="26.25" customHeight="1">
      <c r="A87" s="3"/>
      <c r="B87" s="163" t="s">
        <v>203</v>
      </c>
      <c r="C87" s="150" t="s">
        <v>141</v>
      </c>
      <c r="D87" s="150" t="s">
        <v>141</v>
      </c>
      <c r="E87" s="149" t="s">
        <v>12</v>
      </c>
      <c r="F87" s="17"/>
      <c r="G87" s="196">
        <f>G88</f>
        <v>32</v>
      </c>
      <c r="H87" s="196">
        <f t="shared" si="6"/>
        <v>15</v>
      </c>
      <c r="I87" s="196">
        <f t="shared" si="6"/>
        <v>15</v>
      </c>
    </row>
    <row r="88" spans="1:9" s="5" customFormat="1" ht="24.75" customHeight="1">
      <c r="A88" s="3"/>
      <c r="B88" s="25" t="s">
        <v>169</v>
      </c>
      <c r="C88" s="150" t="s">
        <v>141</v>
      </c>
      <c r="D88" s="150" t="s">
        <v>141</v>
      </c>
      <c r="E88" s="149" t="s">
        <v>245</v>
      </c>
      <c r="F88" s="17"/>
      <c r="G88" s="195">
        <f>G89</f>
        <v>32</v>
      </c>
      <c r="H88" s="195">
        <f t="shared" si="6"/>
        <v>15</v>
      </c>
      <c r="I88" s="195">
        <f t="shared" si="6"/>
        <v>15</v>
      </c>
    </row>
    <row r="89" spans="1:9" s="5" customFormat="1" ht="52.5" customHeight="1">
      <c r="A89" s="26"/>
      <c r="B89" s="25" t="s">
        <v>278</v>
      </c>
      <c r="C89" s="16" t="s">
        <v>141</v>
      </c>
      <c r="D89" s="16" t="s">
        <v>141</v>
      </c>
      <c r="E89" s="149" t="s">
        <v>246</v>
      </c>
      <c r="F89" s="17" t="s">
        <v>25</v>
      </c>
      <c r="G89" s="194">
        <f>15+17</f>
        <v>32</v>
      </c>
      <c r="H89" s="197">
        <v>15</v>
      </c>
      <c r="I89" s="197">
        <v>15</v>
      </c>
    </row>
    <row r="90" spans="1:9" s="5" customFormat="1" ht="24.75" customHeight="1">
      <c r="A90" s="74" t="s">
        <v>147</v>
      </c>
      <c r="B90" s="77" t="s">
        <v>170</v>
      </c>
      <c r="C90" s="78" t="s">
        <v>17</v>
      </c>
      <c r="D90" s="78"/>
      <c r="E90" s="154"/>
      <c r="F90" s="156"/>
      <c r="G90" s="199">
        <f>G92</f>
        <v>2639.999</v>
      </c>
      <c r="H90" s="199">
        <f>H92</f>
        <v>2600</v>
      </c>
      <c r="I90" s="199">
        <f>I92</f>
        <v>2600</v>
      </c>
    </row>
    <row r="91" spans="1:9" s="5" customFormat="1" ht="32.25" customHeight="1">
      <c r="A91" s="3"/>
      <c r="B91" s="163" t="s">
        <v>203</v>
      </c>
      <c r="C91" s="150" t="s">
        <v>9</v>
      </c>
      <c r="D91" s="150" t="s">
        <v>6</v>
      </c>
      <c r="E91" s="149" t="s">
        <v>12</v>
      </c>
      <c r="F91" s="17"/>
      <c r="G91" s="196">
        <f>G92</f>
        <v>2639.999</v>
      </c>
      <c r="H91" s="196">
        <f>H92</f>
        <v>2600</v>
      </c>
      <c r="I91" s="196">
        <f>I92</f>
        <v>2600</v>
      </c>
    </row>
    <row r="92" spans="1:9" s="5" customFormat="1" ht="25.5" customHeight="1">
      <c r="A92" s="3"/>
      <c r="B92" s="164" t="s">
        <v>229</v>
      </c>
      <c r="C92" s="150" t="s">
        <v>9</v>
      </c>
      <c r="D92" s="150" t="s">
        <v>6</v>
      </c>
      <c r="E92" s="149" t="s">
        <v>247</v>
      </c>
      <c r="F92" s="17"/>
      <c r="G92" s="195">
        <f>G93+G94+G95</f>
        <v>2639.999</v>
      </c>
      <c r="H92" s="195">
        <f>H93+H94+H95</f>
        <v>2600</v>
      </c>
      <c r="I92" s="195">
        <f>I93+I94+I95</f>
        <v>2600</v>
      </c>
    </row>
    <row r="93" spans="1:9" s="5" customFormat="1" ht="75" customHeight="1">
      <c r="A93" s="18"/>
      <c r="B93" s="25" t="s">
        <v>329</v>
      </c>
      <c r="C93" s="16" t="s">
        <v>9</v>
      </c>
      <c r="D93" s="16" t="s">
        <v>6</v>
      </c>
      <c r="E93" s="149" t="s">
        <v>248</v>
      </c>
      <c r="F93" s="17" t="s">
        <v>330</v>
      </c>
      <c r="G93" s="194">
        <f>2600-33.11-9.92-222.09+15.98</f>
        <v>2350.8599999999997</v>
      </c>
      <c r="H93" s="197">
        <v>2600</v>
      </c>
      <c r="I93" s="197">
        <v>2600</v>
      </c>
    </row>
    <row r="94" spans="1:9" s="5" customFormat="1" ht="66.75" customHeight="1">
      <c r="A94" s="18"/>
      <c r="B94" s="25" t="s">
        <v>268</v>
      </c>
      <c r="C94" s="16" t="s">
        <v>9</v>
      </c>
      <c r="D94" s="16" t="s">
        <v>6</v>
      </c>
      <c r="E94" s="149" t="s">
        <v>249</v>
      </c>
      <c r="F94" s="17" t="s">
        <v>330</v>
      </c>
      <c r="G94" s="194">
        <f>132.41+39.68+59.219</f>
        <v>231.309</v>
      </c>
      <c r="H94" s="197">
        <v>0</v>
      </c>
      <c r="I94" s="197">
        <v>0</v>
      </c>
    </row>
    <row r="95" spans="1:9" s="5" customFormat="1" ht="63" customHeight="1">
      <c r="A95" s="18"/>
      <c r="B95" s="25" t="s">
        <v>269</v>
      </c>
      <c r="C95" s="16" t="s">
        <v>9</v>
      </c>
      <c r="D95" s="16" t="s">
        <v>6</v>
      </c>
      <c r="E95" s="149" t="s">
        <v>250</v>
      </c>
      <c r="F95" s="17" t="s">
        <v>330</v>
      </c>
      <c r="G95" s="194">
        <f>33.11+9.92+14.8</f>
        <v>57.83</v>
      </c>
      <c r="H95" s="197">
        <v>0</v>
      </c>
      <c r="I95" s="197">
        <v>0</v>
      </c>
    </row>
    <row r="96" spans="1:9" s="5" customFormat="1" ht="25.5" customHeight="1">
      <c r="A96" s="74" t="s">
        <v>148</v>
      </c>
      <c r="B96" s="71" t="s">
        <v>120</v>
      </c>
      <c r="C96" s="73" t="s">
        <v>14</v>
      </c>
      <c r="D96" s="73"/>
      <c r="E96" s="153"/>
      <c r="F96" s="156"/>
      <c r="G96" s="199">
        <f>G100</f>
        <v>0</v>
      </c>
      <c r="H96" s="199">
        <f>H100</f>
        <v>4</v>
      </c>
      <c r="I96" s="199">
        <f>I100</f>
        <v>4</v>
      </c>
    </row>
    <row r="97" spans="1:9" s="5" customFormat="1" ht="25.5" customHeight="1">
      <c r="A97" s="18"/>
      <c r="B97" s="25" t="s">
        <v>121</v>
      </c>
      <c r="C97" s="16" t="s">
        <v>14</v>
      </c>
      <c r="D97" s="16" t="s">
        <v>16</v>
      </c>
      <c r="E97" s="148"/>
      <c r="F97" s="17"/>
      <c r="G97" s="194">
        <f>G98</f>
        <v>0</v>
      </c>
      <c r="H97" s="194">
        <f aca="true" t="shared" si="7" ref="H97:I99">H98</f>
        <v>4</v>
      </c>
      <c r="I97" s="194">
        <f t="shared" si="7"/>
        <v>4</v>
      </c>
    </row>
    <row r="98" spans="1:9" s="5" customFormat="1" ht="33.75" customHeight="1">
      <c r="A98" s="3"/>
      <c r="B98" s="163" t="s">
        <v>203</v>
      </c>
      <c r="C98" s="150" t="s">
        <v>14</v>
      </c>
      <c r="D98" s="150" t="s">
        <v>16</v>
      </c>
      <c r="E98" s="149" t="s">
        <v>12</v>
      </c>
      <c r="F98" s="17"/>
      <c r="G98" s="196">
        <f>G99</f>
        <v>0</v>
      </c>
      <c r="H98" s="196">
        <f t="shared" si="7"/>
        <v>4</v>
      </c>
      <c r="I98" s="196">
        <f t="shared" si="7"/>
        <v>4</v>
      </c>
    </row>
    <row r="99" spans="1:9" s="5" customFormat="1" ht="27.75" customHeight="1">
      <c r="A99" s="3"/>
      <c r="B99" s="164" t="s">
        <v>270</v>
      </c>
      <c r="C99" s="150" t="s">
        <v>14</v>
      </c>
      <c r="D99" s="150" t="s">
        <v>16</v>
      </c>
      <c r="E99" s="149" t="s">
        <v>251</v>
      </c>
      <c r="F99" s="17"/>
      <c r="G99" s="196">
        <f>G100</f>
        <v>0</v>
      </c>
      <c r="H99" s="196">
        <f t="shared" si="7"/>
        <v>4</v>
      </c>
      <c r="I99" s="196">
        <f t="shared" si="7"/>
        <v>4</v>
      </c>
    </row>
    <row r="100" spans="1:9" s="5" customFormat="1" ht="64.5" customHeight="1">
      <c r="A100" s="18"/>
      <c r="B100" s="25" t="s">
        <v>215</v>
      </c>
      <c r="C100" s="16" t="s">
        <v>14</v>
      </c>
      <c r="D100" s="16" t="s">
        <v>16</v>
      </c>
      <c r="E100" s="149" t="s">
        <v>252</v>
      </c>
      <c r="F100" s="17" t="s">
        <v>122</v>
      </c>
      <c r="G100" s="194">
        <f>4-4</f>
        <v>0</v>
      </c>
      <c r="H100" s="197">
        <v>4</v>
      </c>
      <c r="I100" s="197">
        <v>4</v>
      </c>
    </row>
    <row r="101" spans="1:9" s="5" customFormat="1" ht="24" customHeight="1">
      <c r="A101" s="75" t="s">
        <v>149</v>
      </c>
      <c r="B101" s="71" t="s">
        <v>171</v>
      </c>
      <c r="C101" s="73" t="s">
        <v>10</v>
      </c>
      <c r="D101" s="73"/>
      <c r="E101" s="153"/>
      <c r="F101" s="156"/>
      <c r="G101" s="199">
        <f>G105</f>
        <v>23</v>
      </c>
      <c r="H101" s="199">
        <f>H105</f>
        <v>15</v>
      </c>
      <c r="I101" s="199">
        <f>I105</f>
        <v>15</v>
      </c>
    </row>
    <row r="102" spans="1:9" s="5" customFormat="1" ht="24" customHeight="1">
      <c r="A102" s="18"/>
      <c r="B102" s="25" t="s">
        <v>86</v>
      </c>
      <c r="C102" s="16" t="s">
        <v>10</v>
      </c>
      <c r="D102" s="16" t="s">
        <v>12</v>
      </c>
      <c r="E102" s="148"/>
      <c r="F102" s="17"/>
      <c r="G102" s="194">
        <f>G103</f>
        <v>23</v>
      </c>
      <c r="H102" s="194">
        <f aca="true" t="shared" si="8" ref="H102:I104">H103</f>
        <v>15</v>
      </c>
      <c r="I102" s="194">
        <f t="shared" si="8"/>
        <v>15</v>
      </c>
    </row>
    <row r="103" spans="1:9" s="5" customFormat="1" ht="28.5" customHeight="1">
      <c r="A103" s="3"/>
      <c r="B103" s="163" t="s">
        <v>203</v>
      </c>
      <c r="C103" s="150" t="s">
        <v>10</v>
      </c>
      <c r="D103" s="150" t="s">
        <v>12</v>
      </c>
      <c r="E103" s="149" t="s">
        <v>12</v>
      </c>
      <c r="F103" s="17"/>
      <c r="G103" s="196">
        <f>G104</f>
        <v>23</v>
      </c>
      <c r="H103" s="196">
        <f t="shared" si="8"/>
        <v>15</v>
      </c>
      <c r="I103" s="196">
        <f t="shared" si="8"/>
        <v>15</v>
      </c>
    </row>
    <row r="104" spans="1:9" s="5" customFormat="1" ht="23.25" customHeight="1">
      <c r="A104" s="3"/>
      <c r="B104" s="164" t="s">
        <v>272</v>
      </c>
      <c r="C104" s="150" t="s">
        <v>10</v>
      </c>
      <c r="D104" s="150" t="s">
        <v>12</v>
      </c>
      <c r="E104" s="149" t="s">
        <v>234</v>
      </c>
      <c r="F104" s="17"/>
      <c r="G104" s="196">
        <f>G105</f>
        <v>23</v>
      </c>
      <c r="H104" s="196">
        <f t="shared" si="8"/>
        <v>15</v>
      </c>
      <c r="I104" s="196">
        <f t="shared" si="8"/>
        <v>15</v>
      </c>
    </row>
    <row r="105" spans="1:9" s="5" customFormat="1" ht="54" customHeight="1">
      <c r="A105" s="18"/>
      <c r="B105" s="25" t="s">
        <v>271</v>
      </c>
      <c r="C105" s="16" t="s">
        <v>10</v>
      </c>
      <c r="D105" s="16" t="s">
        <v>12</v>
      </c>
      <c r="E105" s="149" t="s">
        <v>253</v>
      </c>
      <c r="F105" s="17" t="s">
        <v>25</v>
      </c>
      <c r="G105" s="194">
        <f>10+10+3</f>
        <v>23</v>
      </c>
      <c r="H105" s="194">
        <v>15</v>
      </c>
      <c r="I105" s="194">
        <v>15</v>
      </c>
    </row>
    <row r="106" spans="1:9" s="5" customFormat="1" ht="32.25" customHeight="1">
      <c r="A106" s="18"/>
      <c r="B106" s="80" t="s">
        <v>36</v>
      </c>
      <c r="C106" s="79"/>
      <c r="D106" s="79"/>
      <c r="E106" s="155"/>
      <c r="F106" s="157"/>
      <c r="G106" s="201">
        <f>G7+G49+G58+G64+G70+G85+G90+G96+G101</f>
        <v>19412.029</v>
      </c>
      <c r="H106" s="201">
        <f>H7+H49+H58+H64+H70+H85+H90+H96+H101</f>
        <v>12772.580000000002</v>
      </c>
      <c r="I106" s="201">
        <f>I7+I49+I58+I64+I70+I85+I90+I96+I101</f>
        <v>10131.070000000002</v>
      </c>
    </row>
  </sheetData>
  <sheetProtection/>
  <mergeCells count="4">
    <mergeCell ref="F1:I1"/>
    <mergeCell ref="F2:I2"/>
    <mergeCell ref="A4:G4"/>
    <mergeCell ref="A3:I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375" style="19" customWidth="1"/>
    <col min="2" max="2" width="52.00390625" style="19" customWidth="1"/>
    <col min="3" max="3" width="9.75390625" style="19" customWidth="1"/>
    <col min="4" max="4" width="10.25390625" style="19" customWidth="1"/>
    <col min="5" max="5" width="10.00390625" style="19" customWidth="1"/>
    <col min="6" max="6" width="20.125" style="35" customWidth="1"/>
    <col min="7" max="7" width="4.875" style="20" hidden="1" customWidth="1"/>
    <col min="8" max="8" width="35.25390625" style="62" hidden="1" customWidth="1"/>
    <col min="9" max="9" width="9.125" style="67" hidden="1" customWidth="1"/>
    <col min="10" max="10" width="11.625" style="1" hidden="1" customWidth="1"/>
    <col min="11" max="11" width="13.125" style="1" hidden="1" customWidth="1"/>
    <col min="12" max="16384" width="9.125" style="1" customWidth="1"/>
  </cols>
  <sheetData>
    <row r="1" spans="3:11" ht="15.75">
      <c r="C1" s="238" t="s">
        <v>316</v>
      </c>
      <c r="D1" s="216"/>
      <c r="E1" s="216"/>
      <c r="I1" s="233" t="s">
        <v>317</v>
      </c>
      <c r="J1" s="232"/>
      <c r="K1" s="232"/>
    </row>
    <row r="2" spans="3:11" ht="93.75" customHeight="1">
      <c r="C2" s="242" t="str">
        <f>'пр.1 доходы'!I2</f>
        <v> к Решению Совета Кааламского сельского поселения № 21 от 22.12.2023г . "О внесении изменений в Решение Совета Кааламского сельского поселения от 24 декабря 2022 г. № 137 «О бюджете Кааламского сельского поселения на 2023 год и на плановый период 2024-2025 годы»     </v>
      </c>
      <c r="D2" s="225"/>
      <c r="E2" s="225"/>
      <c r="F2" s="137"/>
      <c r="I2" s="242" t="str">
        <f>'пр.1 доходы'!I2</f>
        <v> к Решению Совета Кааламского сельского поселения № 21 от 22.12.2023г . "О внесении изменений в Решение Совета Кааламского сельского поселения от 24 декабря 2022 г. № 137 «О бюджете Кааламского сельского поселения на 2023 год и на плановый период 2024-2025 годы»     </v>
      </c>
      <c r="J2" s="225"/>
      <c r="K2" s="225"/>
    </row>
    <row r="3" spans="1:11" ht="74.25" customHeight="1">
      <c r="A3" s="239" t="s">
        <v>182</v>
      </c>
      <c r="B3" s="240"/>
      <c r="C3" s="240"/>
      <c r="D3" s="241"/>
      <c r="E3" s="241"/>
      <c r="F3" s="52"/>
      <c r="G3" s="244" t="s">
        <v>189</v>
      </c>
      <c r="H3" s="237"/>
      <c r="I3" s="237"/>
      <c r="J3" s="237"/>
      <c r="K3" s="237"/>
    </row>
    <row r="4" spans="1:11" ht="23.25" customHeight="1">
      <c r="A4" s="239" t="str">
        <f>'пр.1 доходы'!A4:M4</f>
        <v>на 2023 год и на плановый период 2024-2025 годы</v>
      </c>
      <c r="B4" s="218"/>
      <c r="C4" s="218"/>
      <c r="D4" s="173"/>
      <c r="E4" s="83"/>
      <c r="F4" s="52"/>
      <c r="G4" s="243" t="str">
        <f>A4</f>
        <v>на 2023 год и на плановый период 2024-2025 годы</v>
      </c>
      <c r="H4" s="243"/>
      <c r="I4" s="243"/>
      <c r="J4" s="243"/>
      <c r="K4" s="243"/>
    </row>
    <row r="5" spans="1:11" ht="23.25" customHeight="1">
      <c r="A5" s="172"/>
      <c r="B5" s="52"/>
      <c r="C5" s="52"/>
      <c r="D5" s="173"/>
      <c r="E5" s="83" t="s">
        <v>163</v>
      </c>
      <c r="F5" s="52"/>
      <c r="G5" s="84"/>
      <c r="H5" s="138"/>
      <c r="I5" s="138"/>
      <c r="J5" s="138"/>
      <c r="K5" s="139" t="s">
        <v>163</v>
      </c>
    </row>
    <row r="6" spans="1:11" ht="44.25" customHeight="1">
      <c r="A6" s="134" t="s">
        <v>258</v>
      </c>
      <c r="B6" s="135" t="s">
        <v>183</v>
      </c>
      <c r="C6" s="132" t="s">
        <v>304</v>
      </c>
      <c r="D6" s="132" t="s">
        <v>305</v>
      </c>
      <c r="E6" s="132" t="s">
        <v>335</v>
      </c>
      <c r="F6" s="54"/>
      <c r="G6" s="103" t="s">
        <v>258</v>
      </c>
      <c r="H6" s="136" t="s">
        <v>190</v>
      </c>
      <c r="I6" s="132" t="s">
        <v>304</v>
      </c>
      <c r="J6" s="132" t="s">
        <v>305</v>
      </c>
      <c r="K6" s="132" t="s">
        <v>335</v>
      </c>
    </row>
    <row r="7" spans="1:11" ht="57.75" customHeight="1">
      <c r="A7" s="57">
        <v>1</v>
      </c>
      <c r="B7" s="58" t="s">
        <v>184</v>
      </c>
      <c r="C7" s="204">
        <v>1900.3</v>
      </c>
      <c r="D7" s="204">
        <v>1900.3</v>
      </c>
      <c r="E7" s="204">
        <v>1900.3</v>
      </c>
      <c r="F7" s="53"/>
      <c r="G7" s="103">
        <v>1</v>
      </c>
      <c r="H7" s="64" t="s">
        <v>191</v>
      </c>
      <c r="I7" s="174">
        <v>0</v>
      </c>
      <c r="J7" s="174">
        <v>0</v>
      </c>
      <c r="K7" s="174">
        <v>0</v>
      </c>
    </row>
    <row r="8" spans="1:9" ht="59.25" customHeight="1">
      <c r="A8" s="57">
        <v>2</v>
      </c>
      <c r="B8" s="58" t="s">
        <v>185</v>
      </c>
      <c r="C8" s="204">
        <v>442.3</v>
      </c>
      <c r="D8" s="204">
        <v>459.1</v>
      </c>
      <c r="E8" s="204">
        <v>476.6</v>
      </c>
      <c r="F8" s="53"/>
      <c r="G8" s="1"/>
      <c r="H8" s="1"/>
      <c r="I8" s="1"/>
    </row>
    <row r="9" spans="1:9" ht="78.75">
      <c r="A9" s="57">
        <v>3</v>
      </c>
      <c r="B9" s="58" t="s">
        <v>186</v>
      </c>
      <c r="C9" s="204">
        <v>2</v>
      </c>
      <c r="D9" s="204">
        <v>2</v>
      </c>
      <c r="E9" s="204">
        <v>2</v>
      </c>
      <c r="F9" s="53"/>
      <c r="H9" s="65"/>
      <c r="I9" s="66"/>
    </row>
    <row r="10" spans="1:9" ht="63">
      <c r="A10" s="57">
        <v>4</v>
      </c>
      <c r="B10" s="58" t="s">
        <v>323</v>
      </c>
      <c r="C10" s="204">
        <v>0</v>
      </c>
      <c r="D10" s="204">
        <v>2381.92</v>
      </c>
      <c r="E10" s="204">
        <v>0</v>
      </c>
      <c r="F10" s="53"/>
      <c r="H10" s="65"/>
      <c r="I10" s="66"/>
    </row>
    <row r="11" spans="1:9" ht="31.5">
      <c r="A11" s="57">
        <v>5</v>
      </c>
      <c r="B11" s="214" t="s">
        <v>167</v>
      </c>
      <c r="C11" s="204">
        <f>132.41+1909.21+8+39.68+32.4+47.69+255+59.22+20.8</f>
        <v>2504.41</v>
      </c>
      <c r="D11" s="204">
        <v>0</v>
      </c>
      <c r="E11" s="204">
        <v>0</v>
      </c>
      <c r="F11" s="53"/>
      <c r="H11" s="65"/>
      <c r="I11" s="66"/>
    </row>
    <row r="12" spans="1:9" ht="15.75">
      <c r="A12" s="57"/>
      <c r="B12" s="214"/>
      <c r="C12" s="204"/>
      <c r="D12" s="204"/>
      <c r="E12" s="204"/>
      <c r="F12" s="53"/>
      <c r="H12" s="65"/>
      <c r="I12" s="66"/>
    </row>
    <row r="13" spans="1:6" ht="15" customHeight="1">
      <c r="A13" s="59" t="s">
        <v>36</v>
      </c>
      <c r="B13" s="60"/>
      <c r="C13" s="205">
        <f>SUM(C7:C12)</f>
        <v>4849.01</v>
      </c>
      <c r="D13" s="205">
        <f>SUM(D7:D11)</f>
        <v>4743.32</v>
      </c>
      <c r="E13" s="205">
        <f>SUM(E7:E11)</f>
        <v>2378.9</v>
      </c>
      <c r="F13" s="55"/>
    </row>
    <row r="14" ht="15.75">
      <c r="F14" s="55"/>
    </row>
    <row r="15" spans="1:6" ht="15.75">
      <c r="A15" s="61"/>
      <c r="B15" s="61"/>
      <c r="C15" s="61"/>
      <c r="D15" s="61"/>
      <c r="E15" s="61"/>
      <c r="F15" s="55"/>
    </row>
    <row r="16" spans="1:6" ht="15.75">
      <c r="A16" s="61"/>
      <c r="B16" s="61"/>
      <c r="C16" s="61"/>
      <c r="D16" s="61"/>
      <c r="E16" s="61"/>
      <c r="F16" s="55"/>
    </row>
    <row r="17" spans="1:6" ht="15.75">
      <c r="A17" s="61"/>
      <c r="B17" s="61"/>
      <c r="C17" s="61"/>
      <c r="D17" s="61"/>
      <c r="E17" s="61"/>
      <c r="F17" s="55"/>
    </row>
    <row r="18" spans="1:6" ht="15.75">
      <c r="A18" s="61"/>
      <c r="B18" s="61"/>
      <c r="C18" s="61"/>
      <c r="D18" s="61"/>
      <c r="E18" s="61"/>
      <c r="F18" s="55"/>
    </row>
    <row r="19" spans="1:6" ht="15.75">
      <c r="A19" s="61"/>
      <c r="B19" s="61"/>
      <c r="C19" s="61"/>
      <c r="D19" s="61"/>
      <c r="E19" s="61"/>
      <c r="F19" s="55"/>
    </row>
    <row r="20" spans="1:6" ht="15.75">
      <c r="A20" s="61"/>
      <c r="B20" s="61"/>
      <c r="C20" s="61"/>
      <c r="D20" s="61"/>
      <c r="E20" s="61"/>
      <c r="F20" s="55"/>
    </row>
    <row r="21" spans="1:6" ht="15.75">
      <c r="A21" s="61"/>
      <c r="B21" s="61"/>
      <c r="C21" s="61"/>
      <c r="D21" s="61"/>
      <c r="E21" s="61"/>
      <c r="F21" s="55"/>
    </row>
    <row r="22" spans="1:5" ht="15.75">
      <c r="A22" s="61"/>
      <c r="B22" s="61"/>
      <c r="C22" s="61"/>
      <c r="D22" s="61"/>
      <c r="E22" s="61"/>
    </row>
    <row r="23" spans="1:5" ht="15.75">
      <c r="A23" s="61"/>
      <c r="B23" s="61"/>
      <c r="C23" s="61"/>
      <c r="D23" s="61"/>
      <c r="E23" s="61"/>
    </row>
    <row r="24" spans="1:5" ht="15.75">
      <c r="A24" s="61"/>
      <c r="B24" s="61"/>
      <c r="C24" s="61"/>
      <c r="D24" s="61"/>
      <c r="E24" s="61"/>
    </row>
  </sheetData>
  <sheetProtection/>
  <mergeCells count="8">
    <mergeCell ref="C1:E1"/>
    <mergeCell ref="I1:K1"/>
    <mergeCell ref="A3:E3"/>
    <mergeCell ref="C2:E2"/>
    <mergeCell ref="I2:K2"/>
    <mergeCell ref="A4:C4"/>
    <mergeCell ref="G4:K4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P35" sqref="P35"/>
    </sheetView>
  </sheetViews>
  <sheetFormatPr defaultColWidth="9.00390625" defaultRowHeight="12.75"/>
  <cols>
    <col min="1" max="1" width="4.875" style="1" customWidth="1"/>
    <col min="2" max="2" width="36.0039062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2" width="9.25390625" style="1" customWidth="1"/>
    <col min="13" max="13" width="9.00390625" style="1" customWidth="1"/>
    <col min="14" max="16384" width="9.125" style="1" customWidth="1"/>
  </cols>
  <sheetData>
    <row r="1" spans="4:13" ht="12.75">
      <c r="D1" s="250" t="s">
        <v>342</v>
      </c>
      <c r="E1" s="216"/>
      <c r="F1" s="216"/>
      <c r="G1" s="216"/>
      <c r="H1" s="216"/>
      <c r="I1" s="216"/>
      <c r="J1" s="216"/>
      <c r="K1" s="216"/>
      <c r="L1" s="216"/>
      <c r="M1" s="216"/>
    </row>
    <row r="2" spans="1:13" ht="45" customHeight="1">
      <c r="A2" s="20"/>
      <c r="B2" s="247"/>
      <c r="C2" s="247"/>
      <c r="D2" s="225" t="str">
        <f>'пр.1 доходы'!I2</f>
        <v> к Решению Совета Кааламского сельского поселения № 21 от 22.12.2023г . "О внесении изменений в Решение Совета Кааламского сельского поселения от 24 декабря 2022 г. № 137 «О бюджете Кааламского сельского поселения на 2023 год и на плановый период 2024-2025 годы»     </v>
      </c>
      <c r="E2" s="225"/>
      <c r="F2" s="225"/>
      <c r="G2" s="225"/>
      <c r="H2" s="225"/>
      <c r="I2" s="225"/>
      <c r="J2" s="249"/>
      <c r="K2" s="225"/>
      <c r="L2" s="233"/>
      <c r="M2" s="233"/>
    </row>
    <row r="3" spans="1:11" ht="18" customHeight="1">
      <c r="A3" s="248" t="s">
        <v>152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3" ht="14.25" customHeight="1">
      <c r="A4" s="248" t="str">
        <f>'пр.1 доходы'!A4:M4</f>
        <v>на 2023 год и на плановый период 2024-2025 годы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ht="12.75">
      <c r="A5" s="20"/>
      <c r="B5" s="20"/>
      <c r="C5" s="140"/>
      <c r="D5" s="140"/>
      <c r="E5" s="140"/>
      <c r="F5" s="140"/>
      <c r="G5" s="140"/>
      <c r="H5" s="140"/>
      <c r="I5" s="140"/>
      <c r="J5" s="140"/>
      <c r="K5" s="10"/>
      <c r="M5" s="1" t="s">
        <v>163</v>
      </c>
    </row>
    <row r="6" spans="1:13" ht="47.25" customHeight="1">
      <c r="A6" s="48" t="s">
        <v>93</v>
      </c>
      <c r="B6" s="48" t="s">
        <v>94</v>
      </c>
      <c r="C6" s="245" t="s">
        <v>95</v>
      </c>
      <c r="D6" s="246"/>
      <c r="E6" s="246"/>
      <c r="F6" s="246"/>
      <c r="G6" s="246"/>
      <c r="H6" s="246"/>
      <c r="I6" s="246"/>
      <c r="J6" s="246"/>
      <c r="K6" s="132" t="s">
        <v>304</v>
      </c>
      <c r="L6" s="133" t="s">
        <v>302</v>
      </c>
      <c r="M6" s="133" t="s">
        <v>322</v>
      </c>
    </row>
    <row r="7" spans="1:13" ht="29.25" customHeight="1">
      <c r="A7" s="11"/>
      <c r="B7" s="44" t="s">
        <v>96</v>
      </c>
      <c r="C7" s="22" t="s">
        <v>47</v>
      </c>
      <c r="D7" s="22" t="s">
        <v>6</v>
      </c>
      <c r="E7" s="22" t="s">
        <v>49</v>
      </c>
      <c r="F7" s="22" t="s">
        <v>49</v>
      </c>
      <c r="G7" s="22" t="s">
        <v>49</v>
      </c>
      <c r="H7" s="22" t="s">
        <v>49</v>
      </c>
      <c r="I7" s="22" t="s">
        <v>50</v>
      </c>
      <c r="J7" s="22" t="s">
        <v>47</v>
      </c>
      <c r="K7" s="36">
        <f>K8+K13+K18+K27</f>
        <v>-53.163000000000466</v>
      </c>
      <c r="L7" s="36">
        <f>L8+L13+L18+L27</f>
        <v>-99.99999999999818</v>
      </c>
      <c r="M7" s="36">
        <f>M8+M13+M18+M27</f>
        <v>-99.99999999999818</v>
      </c>
    </row>
    <row r="8" spans="1:13" ht="24.75" customHeight="1">
      <c r="A8" s="12" t="s">
        <v>51</v>
      </c>
      <c r="B8" s="45" t="s">
        <v>97</v>
      </c>
      <c r="C8" s="23" t="s">
        <v>22</v>
      </c>
      <c r="D8" s="23" t="s">
        <v>6</v>
      </c>
      <c r="E8" s="23" t="s">
        <v>12</v>
      </c>
      <c r="F8" s="23" t="s">
        <v>49</v>
      </c>
      <c r="G8" s="23" t="s">
        <v>49</v>
      </c>
      <c r="H8" s="23" t="s">
        <v>49</v>
      </c>
      <c r="I8" s="23" t="s">
        <v>50</v>
      </c>
      <c r="J8" s="23" t="s">
        <v>47</v>
      </c>
      <c r="K8" s="37">
        <f>K9-K11</f>
        <v>0</v>
      </c>
      <c r="L8" s="37">
        <f>L9-L11</f>
        <v>0</v>
      </c>
      <c r="M8" s="37">
        <f>M9-M11</f>
        <v>0</v>
      </c>
    </row>
    <row r="9" spans="1:13" ht="24.75" customHeight="1">
      <c r="A9" s="13" t="s">
        <v>55</v>
      </c>
      <c r="B9" s="46" t="s">
        <v>98</v>
      </c>
      <c r="C9" s="22" t="s">
        <v>22</v>
      </c>
      <c r="D9" s="22" t="s">
        <v>6</v>
      </c>
      <c r="E9" s="22" t="s">
        <v>12</v>
      </c>
      <c r="F9" s="22" t="s">
        <v>49</v>
      </c>
      <c r="G9" s="22" t="s">
        <v>49</v>
      </c>
      <c r="H9" s="22" t="s">
        <v>49</v>
      </c>
      <c r="I9" s="22" t="s">
        <v>50</v>
      </c>
      <c r="J9" s="22">
        <v>700</v>
      </c>
      <c r="K9" s="36">
        <f>K10</f>
        <v>0</v>
      </c>
      <c r="L9" s="36">
        <f>L10</f>
        <v>0</v>
      </c>
      <c r="M9" s="36">
        <f>M10</f>
        <v>0</v>
      </c>
    </row>
    <row r="10" spans="1:13" ht="24.75" customHeight="1">
      <c r="A10" s="14" t="s">
        <v>74</v>
      </c>
      <c r="B10" s="47" t="s">
        <v>130</v>
      </c>
      <c r="C10" s="24" t="s">
        <v>22</v>
      </c>
      <c r="D10" s="24" t="s">
        <v>6</v>
      </c>
      <c r="E10" s="24" t="s">
        <v>12</v>
      </c>
      <c r="F10" s="24" t="s">
        <v>49</v>
      </c>
      <c r="G10" s="24" t="s">
        <v>49</v>
      </c>
      <c r="H10" s="24" t="s">
        <v>14</v>
      </c>
      <c r="I10" s="24" t="s">
        <v>50</v>
      </c>
      <c r="J10" s="24">
        <v>710</v>
      </c>
      <c r="K10" s="38">
        <v>0</v>
      </c>
      <c r="L10" s="38">
        <v>0</v>
      </c>
      <c r="M10" s="38">
        <v>0</v>
      </c>
    </row>
    <row r="11" spans="1:13" ht="30.75" customHeight="1">
      <c r="A11" s="4" t="s">
        <v>57</v>
      </c>
      <c r="B11" s="46" t="s">
        <v>99</v>
      </c>
      <c r="C11" s="22" t="s">
        <v>22</v>
      </c>
      <c r="D11" s="22" t="s">
        <v>6</v>
      </c>
      <c r="E11" s="22" t="s">
        <v>12</v>
      </c>
      <c r="F11" s="22" t="s">
        <v>49</v>
      </c>
      <c r="G11" s="22" t="s">
        <v>49</v>
      </c>
      <c r="H11" s="22" t="s">
        <v>49</v>
      </c>
      <c r="I11" s="22" t="s">
        <v>50</v>
      </c>
      <c r="J11" s="22" t="s">
        <v>77</v>
      </c>
      <c r="K11" s="39">
        <f>K12</f>
        <v>0</v>
      </c>
      <c r="L11" s="39">
        <f>L12</f>
        <v>0</v>
      </c>
      <c r="M11" s="39">
        <f>M12</f>
        <v>0</v>
      </c>
    </row>
    <row r="12" spans="1:13" ht="24.75" customHeight="1">
      <c r="A12" s="14" t="s">
        <v>74</v>
      </c>
      <c r="B12" s="47" t="s">
        <v>132</v>
      </c>
      <c r="C12" s="24" t="s">
        <v>22</v>
      </c>
      <c r="D12" s="24" t="s">
        <v>6</v>
      </c>
      <c r="E12" s="24" t="s">
        <v>12</v>
      </c>
      <c r="F12" s="24" t="s">
        <v>49</v>
      </c>
      <c r="G12" s="24" t="s">
        <v>49</v>
      </c>
      <c r="H12" s="24" t="s">
        <v>14</v>
      </c>
      <c r="I12" s="24" t="s">
        <v>50</v>
      </c>
      <c r="J12" s="24" t="s">
        <v>78</v>
      </c>
      <c r="K12" s="38">
        <v>0</v>
      </c>
      <c r="L12" s="38">
        <v>0</v>
      </c>
      <c r="M12" s="38">
        <v>0</v>
      </c>
    </row>
    <row r="13" spans="1:13" ht="24" customHeight="1">
      <c r="A13" s="12" t="s">
        <v>59</v>
      </c>
      <c r="B13" s="45" t="s">
        <v>100</v>
      </c>
      <c r="C13" s="23" t="s">
        <v>22</v>
      </c>
      <c r="D13" s="23" t="s">
        <v>6</v>
      </c>
      <c r="E13" s="23" t="s">
        <v>16</v>
      </c>
      <c r="F13" s="23" t="s">
        <v>49</v>
      </c>
      <c r="G13" s="23" t="s">
        <v>49</v>
      </c>
      <c r="H13" s="23" t="s">
        <v>49</v>
      </c>
      <c r="I13" s="23" t="s">
        <v>50</v>
      </c>
      <c r="J13" s="23" t="s">
        <v>47</v>
      </c>
      <c r="K13" s="37">
        <f>K14-K16</f>
        <v>0</v>
      </c>
      <c r="L13" s="37">
        <f>L14-L16</f>
        <v>0</v>
      </c>
      <c r="M13" s="37">
        <f>M14-M16</f>
        <v>0</v>
      </c>
    </row>
    <row r="14" spans="1:13" ht="33" customHeight="1">
      <c r="A14" s="13" t="s">
        <v>101</v>
      </c>
      <c r="B14" s="46" t="s">
        <v>73</v>
      </c>
      <c r="C14" s="22" t="s">
        <v>22</v>
      </c>
      <c r="D14" s="22" t="s">
        <v>6</v>
      </c>
      <c r="E14" s="22" t="s">
        <v>16</v>
      </c>
      <c r="F14" s="22" t="s">
        <v>49</v>
      </c>
      <c r="G14" s="22" t="s">
        <v>49</v>
      </c>
      <c r="H14" s="22" t="s">
        <v>49</v>
      </c>
      <c r="I14" s="22" t="s">
        <v>50</v>
      </c>
      <c r="J14" s="22" t="s">
        <v>75</v>
      </c>
      <c r="K14" s="39">
        <f>K15</f>
        <v>0</v>
      </c>
      <c r="L14" s="39">
        <f>L15</f>
        <v>0</v>
      </c>
      <c r="M14" s="39">
        <f>M15</f>
        <v>0</v>
      </c>
    </row>
    <row r="15" spans="1:13" ht="33" customHeight="1">
      <c r="A15" s="4" t="s">
        <v>74</v>
      </c>
      <c r="B15" s="47" t="s">
        <v>131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49</v>
      </c>
      <c r="H15" s="24" t="s">
        <v>14</v>
      </c>
      <c r="I15" s="24" t="s">
        <v>50</v>
      </c>
      <c r="J15" s="24" t="s">
        <v>76</v>
      </c>
      <c r="K15" s="38">
        <v>0</v>
      </c>
      <c r="L15" s="38">
        <v>0</v>
      </c>
      <c r="M15" s="38">
        <v>0</v>
      </c>
    </row>
    <row r="16" spans="1:13" ht="42.75" customHeight="1">
      <c r="A16" s="13" t="s">
        <v>102</v>
      </c>
      <c r="B16" s="46" t="s">
        <v>103</v>
      </c>
      <c r="C16" s="22" t="s">
        <v>22</v>
      </c>
      <c r="D16" s="22" t="s">
        <v>6</v>
      </c>
      <c r="E16" s="22" t="s">
        <v>16</v>
      </c>
      <c r="F16" s="22" t="s">
        <v>49</v>
      </c>
      <c r="G16" s="22" t="s">
        <v>49</v>
      </c>
      <c r="H16" s="22" t="s">
        <v>49</v>
      </c>
      <c r="I16" s="22" t="s">
        <v>50</v>
      </c>
      <c r="J16" s="22" t="s">
        <v>77</v>
      </c>
      <c r="K16" s="36">
        <f>K17</f>
        <v>0</v>
      </c>
      <c r="L16" s="36">
        <f>L17</f>
        <v>0</v>
      </c>
      <c r="M16" s="36">
        <f>M17</f>
        <v>0</v>
      </c>
    </row>
    <row r="17" spans="1:13" ht="36" customHeight="1">
      <c r="A17" s="4" t="s">
        <v>74</v>
      </c>
      <c r="B17" s="47" t="s">
        <v>164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49</v>
      </c>
      <c r="H17" s="24" t="s">
        <v>14</v>
      </c>
      <c r="I17" s="24" t="s">
        <v>50</v>
      </c>
      <c r="J17" s="24">
        <v>810</v>
      </c>
      <c r="K17" s="40">
        <v>0</v>
      </c>
      <c r="L17" s="40">
        <v>0</v>
      </c>
      <c r="M17" s="40">
        <v>0</v>
      </c>
    </row>
    <row r="18" spans="1:13" ht="24" customHeight="1">
      <c r="A18" s="12" t="s">
        <v>60</v>
      </c>
      <c r="B18" s="45" t="s">
        <v>81</v>
      </c>
      <c r="C18" s="23" t="s">
        <v>22</v>
      </c>
      <c r="D18" s="23" t="s">
        <v>6</v>
      </c>
      <c r="E18" s="23" t="s">
        <v>11</v>
      </c>
      <c r="F18" s="23" t="s">
        <v>49</v>
      </c>
      <c r="G18" s="23" t="s">
        <v>49</v>
      </c>
      <c r="H18" s="23" t="s">
        <v>49</v>
      </c>
      <c r="I18" s="23" t="s">
        <v>50</v>
      </c>
      <c r="J18" s="23" t="s">
        <v>47</v>
      </c>
      <c r="K18" s="41">
        <f>K22+K26</f>
        <v>-53.163000000000466</v>
      </c>
      <c r="L18" s="41">
        <f>L22+L26</f>
        <v>-99.99999999999818</v>
      </c>
      <c r="M18" s="41">
        <f>M22+M26</f>
        <v>-99.99999999999818</v>
      </c>
    </row>
    <row r="19" spans="1:13" ht="12.75" customHeight="1">
      <c r="A19" s="4" t="s">
        <v>62</v>
      </c>
      <c r="B19" s="46" t="s">
        <v>104</v>
      </c>
      <c r="C19" s="24" t="s">
        <v>22</v>
      </c>
      <c r="D19" s="22" t="s">
        <v>6</v>
      </c>
      <c r="E19" s="22" t="s">
        <v>11</v>
      </c>
      <c r="F19" s="22" t="s">
        <v>49</v>
      </c>
      <c r="G19" s="22" t="s">
        <v>49</v>
      </c>
      <c r="H19" s="22" t="s">
        <v>49</v>
      </c>
      <c r="I19" s="22" t="s">
        <v>50</v>
      </c>
      <c r="J19" s="22" t="s">
        <v>105</v>
      </c>
      <c r="K19" s="42">
        <f>K20</f>
        <v>-19465.192</v>
      </c>
      <c r="L19" s="42">
        <f aca="true" t="shared" si="0" ref="L19:M21">L20</f>
        <v>-13122.58</v>
      </c>
      <c r="M19" s="42">
        <f t="shared" si="0"/>
        <v>-10741.07</v>
      </c>
    </row>
    <row r="20" spans="1:13" ht="12.75" customHeight="1">
      <c r="A20" s="15"/>
      <c r="B20" s="47" t="s">
        <v>106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49</v>
      </c>
      <c r="H20" s="24" t="s">
        <v>49</v>
      </c>
      <c r="I20" s="24" t="s">
        <v>50</v>
      </c>
      <c r="J20" s="24" t="s">
        <v>105</v>
      </c>
      <c r="K20" s="43">
        <f>K21</f>
        <v>-19465.192</v>
      </c>
      <c r="L20" s="43">
        <f t="shared" si="0"/>
        <v>-13122.58</v>
      </c>
      <c r="M20" s="43">
        <f t="shared" si="0"/>
        <v>-10741.07</v>
      </c>
    </row>
    <row r="21" spans="1:13" ht="22.5" customHeight="1">
      <c r="A21" s="15"/>
      <c r="B21" s="47" t="s">
        <v>133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49</v>
      </c>
      <c r="I21" s="24" t="s">
        <v>50</v>
      </c>
      <c r="J21" s="24" t="s">
        <v>105</v>
      </c>
      <c r="K21" s="43">
        <f>K22</f>
        <v>-19465.192</v>
      </c>
      <c r="L21" s="43">
        <f t="shared" si="0"/>
        <v>-13122.58</v>
      </c>
      <c r="M21" s="43">
        <f t="shared" si="0"/>
        <v>-10741.07</v>
      </c>
    </row>
    <row r="22" spans="1:13" ht="22.5" customHeight="1">
      <c r="A22" s="15"/>
      <c r="B22" s="47" t="s">
        <v>134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50</v>
      </c>
      <c r="J22" s="24" t="s">
        <v>79</v>
      </c>
      <c r="K22" s="43">
        <f>-(K31+K10+K15)</f>
        <v>-19465.192</v>
      </c>
      <c r="L22" s="43">
        <f>-(L31+L10+L15)</f>
        <v>-13122.58</v>
      </c>
      <c r="M22" s="43">
        <f>-(M31+M10+M15)</f>
        <v>-10741.07</v>
      </c>
    </row>
    <row r="23" spans="1:13" ht="15.75" customHeight="1">
      <c r="A23" s="4" t="s">
        <v>63</v>
      </c>
      <c r="B23" s="46" t="s">
        <v>107</v>
      </c>
      <c r="C23" s="24" t="s">
        <v>22</v>
      </c>
      <c r="D23" s="22" t="s">
        <v>6</v>
      </c>
      <c r="E23" s="22" t="s">
        <v>11</v>
      </c>
      <c r="F23" s="22" t="s">
        <v>49</v>
      </c>
      <c r="G23" s="22" t="s">
        <v>49</v>
      </c>
      <c r="H23" s="22" t="s">
        <v>49</v>
      </c>
      <c r="I23" s="22" t="s">
        <v>50</v>
      </c>
      <c r="J23" s="22" t="s">
        <v>108</v>
      </c>
      <c r="K23" s="42">
        <f>K24</f>
        <v>19412.029</v>
      </c>
      <c r="L23" s="42">
        <f>L24</f>
        <v>13022.580000000002</v>
      </c>
      <c r="M23" s="42">
        <f aca="true" t="shared" si="1" ref="L23:M25">M24</f>
        <v>10641.070000000002</v>
      </c>
    </row>
    <row r="24" spans="1:13" ht="12.75" customHeight="1">
      <c r="A24" s="15"/>
      <c r="B24" s="47" t="s">
        <v>109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49</v>
      </c>
      <c r="H24" s="24" t="s">
        <v>49</v>
      </c>
      <c r="I24" s="24" t="s">
        <v>50</v>
      </c>
      <c r="J24" s="24" t="s">
        <v>108</v>
      </c>
      <c r="K24" s="43">
        <f>K25</f>
        <v>19412.029</v>
      </c>
      <c r="L24" s="43">
        <f>L25</f>
        <v>13022.580000000002</v>
      </c>
      <c r="M24" s="43">
        <f t="shared" si="1"/>
        <v>10641.070000000002</v>
      </c>
    </row>
    <row r="25" spans="1:13" ht="24.75" customHeight="1">
      <c r="A25" s="15"/>
      <c r="B25" s="47" t="s">
        <v>135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49</v>
      </c>
      <c r="I25" s="24" t="s">
        <v>50</v>
      </c>
      <c r="J25" s="24" t="s">
        <v>108</v>
      </c>
      <c r="K25" s="43">
        <f>K26</f>
        <v>19412.029</v>
      </c>
      <c r="L25" s="43">
        <f t="shared" si="1"/>
        <v>13022.580000000002</v>
      </c>
      <c r="M25" s="43">
        <f t="shared" si="1"/>
        <v>10641.070000000002</v>
      </c>
    </row>
    <row r="26" spans="1:13" ht="21" customHeight="1">
      <c r="A26" s="15"/>
      <c r="B26" s="47" t="s">
        <v>135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50</v>
      </c>
      <c r="J26" s="24" t="s">
        <v>80</v>
      </c>
      <c r="K26" s="43">
        <f>(K32+K12+K17-K29)</f>
        <v>19412.029</v>
      </c>
      <c r="L26" s="43">
        <f>(L36+L12+L17-L29)</f>
        <v>13022.580000000002</v>
      </c>
      <c r="M26" s="43">
        <f>(M36+M12+M17-M29)</f>
        <v>10641.070000000002</v>
      </c>
    </row>
    <row r="27" spans="1:13" ht="21" customHeight="1">
      <c r="A27" s="4" t="s">
        <v>65</v>
      </c>
      <c r="B27" s="46" t="s">
        <v>82</v>
      </c>
      <c r="C27" s="24" t="s">
        <v>22</v>
      </c>
      <c r="D27" s="22" t="s">
        <v>6</v>
      </c>
      <c r="E27" s="22" t="s">
        <v>61</v>
      </c>
      <c r="F27" s="22" t="s">
        <v>49</v>
      </c>
      <c r="G27" s="22" t="s">
        <v>49</v>
      </c>
      <c r="H27" s="22" t="s">
        <v>49</v>
      </c>
      <c r="I27" s="22" t="s">
        <v>50</v>
      </c>
      <c r="J27" s="22" t="s">
        <v>47</v>
      </c>
      <c r="K27" s="42">
        <f aca="true" t="shared" si="2" ref="K27:M28">K28</f>
        <v>0</v>
      </c>
      <c r="L27" s="42">
        <f t="shared" si="2"/>
        <v>0</v>
      </c>
      <c r="M27" s="42">
        <f t="shared" si="2"/>
        <v>0</v>
      </c>
    </row>
    <row r="28" spans="1:13" ht="24" customHeight="1">
      <c r="A28" s="4" t="s">
        <v>110</v>
      </c>
      <c r="B28" s="47" t="s">
        <v>114</v>
      </c>
      <c r="C28" s="22" t="s">
        <v>22</v>
      </c>
      <c r="D28" s="22" t="s">
        <v>6</v>
      </c>
      <c r="E28" s="22" t="s">
        <v>61</v>
      </c>
      <c r="F28" s="22" t="s">
        <v>49</v>
      </c>
      <c r="G28" s="22" t="s">
        <v>49</v>
      </c>
      <c r="H28" s="22" t="s">
        <v>49</v>
      </c>
      <c r="I28" s="22" t="s">
        <v>50</v>
      </c>
      <c r="J28" s="22" t="s">
        <v>47</v>
      </c>
      <c r="K28" s="42">
        <f t="shared" si="2"/>
        <v>0</v>
      </c>
      <c r="L28" s="42">
        <f t="shared" si="2"/>
        <v>0</v>
      </c>
      <c r="M28" s="42">
        <f t="shared" si="2"/>
        <v>0</v>
      </c>
    </row>
    <row r="29" spans="1:13" ht="68.25" customHeight="1">
      <c r="A29" s="15" t="s">
        <v>111</v>
      </c>
      <c r="B29" s="47" t="s">
        <v>136</v>
      </c>
      <c r="C29" s="24" t="s">
        <v>22</v>
      </c>
      <c r="D29" s="24" t="s">
        <v>6</v>
      </c>
      <c r="E29" s="24" t="s">
        <v>61</v>
      </c>
      <c r="F29" s="24" t="s">
        <v>7</v>
      </c>
      <c r="G29" s="24" t="s">
        <v>6</v>
      </c>
      <c r="H29" s="24" t="s">
        <v>14</v>
      </c>
      <c r="I29" s="24" t="s">
        <v>50</v>
      </c>
      <c r="J29" s="24" t="s">
        <v>78</v>
      </c>
      <c r="K29" s="43">
        <f>-K34</f>
        <v>0</v>
      </c>
      <c r="L29" s="43">
        <f>-L34</f>
        <v>0</v>
      </c>
      <c r="M29" s="43">
        <f>-M34</f>
        <v>0</v>
      </c>
    </row>
    <row r="30" spans="1:13" ht="8.25" customHeight="1" hidden="1">
      <c r="A30" s="20"/>
      <c r="B30" s="20"/>
      <c r="C30" s="140"/>
      <c r="D30" s="140"/>
      <c r="E30" s="140"/>
      <c r="F30" s="140"/>
      <c r="G30" s="140"/>
      <c r="H30" s="140"/>
      <c r="I30" s="140"/>
      <c r="J30" s="140"/>
      <c r="K30" s="141"/>
      <c r="L30" s="141"/>
      <c r="M30" s="141"/>
    </row>
    <row r="31" spans="1:13" ht="12.75">
      <c r="A31" s="20"/>
      <c r="B31" s="142"/>
      <c r="C31" s="140"/>
      <c r="D31" s="140"/>
      <c r="E31" s="140"/>
      <c r="F31" s="140"/>
      <c r="G31" s="140"/>
      <c r="H31" s="140"/>
      <c r="I31" s="143" t="s">
        <v>112</v>
      </c>
      <c r="J31" s="140"/>
      <c r="K31" s="144">
        <f>'пр.1 доходы'!K8</f>
        <v>19465.192</v>
      </c>
      <c r="L31" s="144">
        <f>'пр.1 доходы'!L8</f>
        <v>13122.58</v>
      </c>
      <c r="M31" s="144">
        <f>'пр.1 доходы'!M8</f>
        <v>10741.07</v>
      </c>
    </row>
    <row r="32" spans="1:13" ht="12.75">
      <c r="A32" s="20"/>
      <c r="B32" s="142"/>
      <c r="C32" s="140"/>
      <c r="D32" s="140"/>
      <c r="E32" s="140"/>
      <c r="F32" s="140"/>
      <c r="G32" s="140"/>
      <c r="H32" s="140"/>
      <c r="I32" s="143" t="s">
        <v>374</v>
      </c>
      <c r="J32" s="140"/>
      <c r="K32" s="144">
        <f>'пр.2 Вед.стр'!H7</f>
        <v>19412.029</v>
      </c>
      <c r="L32" s="144">
        <f>'пр.2 Вед.стр'!I7</f>
        <v>12772.580000000002</v>
      </c>
      <c r="M32" s="144">
        <f>'пр.2 Вед.стр'!J7</f>
        <v>10131.070000000002</v>
      </c>
    </row>
    <row r="33" spans="1:13" ht="12.75">
      <c r="A33" s="20"/>
      <c r="B33" s="142"/>
      <c r="C33" s="140"/>
      <c r="D33" s="140"/>
      <c r="E33" s="140"/>
      <c r="F33" s="140"/>
      <c r="G33" s="140"/>
      <c r="H33" s="140"/>
      <c r="I33" s="143" t="s">
        <v>332</v>
      </c>
      <c r="J33" s="140"/>
      <c r="K33" s="144">
        <f>K31-K32</f>
        <v>53.163000000000466</v>
      </c>
      <c r="L33" s="144">
        <f>L31-L32-L35</f>
        <v>99.99999999999818</v>
      </c>
      <c r="M33" s="144">
        <f>M31-M32-M35</f>
        <v>99.99999999999818</v>
      </c>
    </row>
    <row r="34" spans="9:13" ht="12.75">
      <c r="I34" s="145" t="s">
        <v>113</v>
      </c>
      <c r="K34" s="146">
        <v>0</v>
      </c>
      <c r="L34" s="146">
        <v>0</v>
      </c>
      <c r="M34" s="146">
        <v>0</v>
      </c>
    </row>
    <row r="35" spans="2:13" ht="12.75">
      <c r="B35" s="206" t="s">
        <v>333</v>
      </c>
      <c r="L35" s="206">
        <v>250</v>
      </c>
      <c r="M35" s="206">
        <v>510</v>
      </c>
    </row>
    <row r="36" spans="2:13" ht="12.75">
      <c r="B36" s="1" t="s">
        <v>334</v>
      </c>
      <c r="L36" s="207">
        <f>L32+L35</f>
        <v>13022.580000000002</v>
      </c>
      <c r="M36" s="207">
        <f>M32+M35</f>
        <v>10641.070000000002</v>
      </c>
    </row>
  </sheetData>
  <sheetProtection/>
  <mergeCells count="6">
    <mergeCell ref="C6:J6"/>
    <mergeCell ref="B2:C2"/>
    <mergeCell ref="A3:K3"/>
    <mergeCell ref="D2:M2"/>
    <mergeCell ref="A4:M4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2023-12-14T05:57:45Z</cp:lastPrinted>
  <dcterms:created xsi:type="dcterms:W3CDTF">2002-01-30T06:06:39Z</dcterms:created>
  <dcterms:modified xsi:type="dcterms:W3CDTF">2024-01-16T11:27:49Z</dcterms:modified>
  <cp:category/>
  <cp:version/>
  <cp:contentType/>
  <cp:contentStatus/>
</cp:coreProperties>
</file>